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2"/>
  </bookViews>
  <sheets>
    <sheet name="Outros" sheetId="3" r:id="rId1"/>
    <sheet name="ARQ" sheetId="1" r:id="rId2"/>
    <sheet name="CPU BANCADAS" sheetId="6" r:id="rId3"/>
    <sheet name="AF" sheetId="2" r:id="rId4"/>
    <sheet name="ESG" sheetId="4" r:id="rId5"/>
    <sheet name="ELET" sheetId="5" r:id="rId6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6" l="1"/>
  <c r="F13" i="6" l="1"/>
  <c r="F5" i="6"/>
  <c r="E5" i="6"/>
  <c r="F10" i="6" s="1"/>
  <c r="F8" i="6" l="1"/>
  <c r="F11" i="6"/>
  <c r="F7" i="6"/>
  <c r="F9" i="6"/>
  <c r="F27" i="6"/>
  <c r="E19" i="6"/>
  <c r="F21" i="6" l="1"/>
  <c r="F23" i="6"/>
  <c r="F22" i="6"/>
  <c r="G31" i="5" l="1"/>
  <c r="F31" i="5"/>
  <c r="E31" i="5"/>
  <c r="H24" i="4"/>
  <c r="I359" i="1"/>
  <c r="I357" i="1"/>
  <c r="I353" i="1"/>
  <c r="N344" i="1"/>
  <c r="J128" i="1" l="1"/>
  <c r="J127" i="1"/>
  <c r="N277" i="1" l="1"/>
  <c r="M277" i="1"/>
  <c r="O287" i="1"/>
  <c r="O286" i="1"/>
  <c r="M67" i="1"/>
  <c r="D196" i="1" l="1"/>
  <c r="C196" i="1"/>
  <c r="D199" i="1"/>
  <c r="C199" i="1"/>
  <c r="D201" i="1"/>
  <c r="C201" i="1"/>
  <c r="D202" i="1"/>
  <c r="C202" i="1"/>
  <c r="D200" i="1" l="1"/>
  <c r="C200" i="1"/>
  <c r="M195" i="1"/>
  <c r="N204" i="1"/>
  <c r="AD3" i="5" l="1"/>
  <c r="AA39" i="5" l="1"/>
  <c r="I24" i="4" l="1"/>
  <c r="K24" i="4" s="1"/>
  <c r="G14" i="3"/>
  <c r="G9" i="3"/>
  <c r="G8" i="3"/>
  <c r="G6" i="3"/>
  <c r="G5" i="3"/>
  <c r="G4" i="3"/>
  <c r="G3" i="3"/>
  <c r="D16" i="3"/>
  <c r="C16" i="3"/>
  <c r="D15" i="3"/>
  <c r="G15" i="3" s="1"/>
  <c r="C15" i="3"/>
  <c r="C13" i="3"/>
  <c r="G13" i="3" s="1"/>
  <c r="D11" i="3"/>
  <c r="G11" i="3" s="1"/>
  <c r="C11" i="3"/>
  <c r="D10" i="3"/>
  <c r="G10" i="3" s="1"/>
  <c r="C10" i="3"/>
  <c r="C8" i="3"/>
  <c r="D6" i="3"/>
  <c r="C6" i="3"/>
  <c r="D5" i="3"/>
  <c r="C5" i="3"/>
  <c r="C3" i="3"/>
  <c r="G456" i="1"/>
  <c r="N456" i="1" s="1"/>
  <c r="O456" i="1" s="1"/>
  <c r="I49" i="1"/>
  <c r="J49" i="1" s="1"/>
  <c r="H49" i="1"/>
  <c r="H48" i="1" s="1"/>
  <c r="G2" i="3" l="1"/>
  <c r="G7" i="3"/>
  <c r="G16" i="3"/>
  <c r="G12" i="3"/>
  <c r="G10" i="5"/>
  <c r="F10" i="5"/>
  <c r="E10" i="5"/>
  <c r="V23" i="5" l="1"/>
  <c r="T23" i="5"/>
  <c r="V16" i="5"/>
  <c r="U16" i="5"/>
  <c r="T16" i="5"/>
  <c r="W11" i="5"/>
  <c r="V11" i="5"/>
  <c r="U11" i="5"/>
  <c r="T11" i="5"/>
  <c r="U6" i="5"/>
  <c r="T6" i="5"/>
  <c r="AB3" i="5" s="1"/>
  <c r="W35" i="5"/>
  <c r="W36" i="5" s="1"/>
  <c r="V35" i="5"/>
  <c r="V36" i="5" s="1"/>
  <c r="U35" i="5"/>
  <c r="U36" i="5" s="1"/>
  <c r="T35" i="5"/>
  <c r="T36" i="5" s="1"/>
  <c r="W32" i="5"/>
  <c r="W33" i="5" s="1"/>
  <c r="V32" i="5"/>
  <c r="V33" i="5" s="1"/>
  <c r="U32" i="5"/>
  <c r="U33" i="5" s="1"/>
  <c r="T32" i="5"/>
  <c r="T33" i="5" s="1"/>
  <c r="W29" i="5"/>
  <c r="W30" i="5" s="1"/>
  <c r="V29" i="5"/>
  <c r="V30" i="5" s="1"/>
  <c r="U29" i="5"/>
  <c r="U30" i="5" s="1"/>
  <c r="T29" i="5"/>
  <c r="T30" i="5" s="1"/>
  <c r="Y40" i="5"/>
  <c r="X53" i="5"/>
  <c r="X54" i="5" s="1"/>
  <c r="X49" i="5"/>
  <c r="X50" i="5" s="1"/>
  <c r="X45" i="5"/>
  <c r="X46" i="5" s="1"/>
  <c r="W53" i="5"/>
  <c r="W54" i="5" s="1"/>
  <c r="W49" i="5"/>
  <c r="W50" i="5" s="1"/>
  <c r="W45" i="5"/>
  <c r="W46" i="5" s="1"/>
  <c r="V53" i="5"/>
  <c r="V54" i="5" s="1"/>
  <c r="V49" i="5"/>
  <c r="V50" i="5" s="1"/>
  <c r="V45" i="5"/>
  <c r="V46" i="5" s="1"/>
  <c r="U53" i="5"/>
  <c r="U54" i="5" s="1"/>
  <c r="U49" i="5"/>
  <c r="U50" i="5" s="1"/>
  <c r="U45" i="5"/>
  <c r="U46" i="5" s="1"/>
  <c r="T53" i="5"/>
  <c r="T54" i="5" s="1"/>
  <c r="T49" i="5"/>
  <c r="T50" i="5" s="1"/>
  <c r="T45" i="5"/>
  <c r="T46" i="5" s="1"/>
  <c r="X41" i="5"/>
  <c r="X42" i="5" s="1"/>
  <c r="W41" i="5"/>
  <c r="W42" i="5" s="1"/>
  <c r="V41" i="5"/>
  <c r="V42" i="5" s="1"/>
  <c r="U41" i="5"/>
  <c r="U42" i="5" s="1"/>
  <c r="T41" i="5"/>
  <c r="T42" i="5" s="1"/>
  <c r="G11" i="5"/>
  <c r="E11" i="5"/>
  <c r="F11" i="5"/>
  <c r="G29" i="5"/>
  <c r="E13" i="5"/>
  <c r="E18" i="5"/>
  <c r="E25" i="5"/>
  <c r="Y42" i="5" l="1"/>
  <c r="H10" i="5"/>
  <c r="Y41" i="5"/>
  <c r="Z39" i="5" s="1"/>
  <c r="AB27" i="5"/>
  <c r="AC3" i="5" s="1"/>
  <c r="H11" i="5"/>
  <c r="X57" i="5"/>
  <c r="Z57" i="5" s="1"/>
  <c r="N32" i="1"/>
  <c r="O32" i="1" s="1"/>
  <c r="J32" i="1"/>
  <c r="M136" i="1"/>
  <c r="M150" i="1"/>
  <c r="M146" i="1"/>
  <c r="M427" i="1"/>
  <c r="AA57" i="5" l="1"/>
  <c r="G7" i="5"/>
  <c r="E5" i="5"/>
  <c r="F3" i="5"/>
  <c r="H20" i="5"/>
  <c r="E3" i="5"/>
  <c r="F7" i="5"/>
  <c r="E7" i="5"/>
  <c r="F5" i="5" l="1"/>
  <c r="M7" i="1"/>
  <c r="G8" i="1"/>
  <c r="M23" i="1"/>
  <c r="M22" i="1" s="1"/>
  <c r="M54" i="1"/>
  <c r="M210" i="1"/>
  <c r="G5" i="5" l="1"/>
  <c r="H5" i="5" l="1"/>
  <c r="AE3" i="5"/>
  <c r="G3" i="5"/>
  <c r="H3" i="5" s="1"/>
  <c r="H7" i="5"/>
  <c r="H23" i="5"/>
  <c r="K23" i="5" s="1"/>
  <c r="L23" i="5" s="1"/>
  <c r="H22" i="5"/>
  <c r="K22" i="5" s="1"/>
  <c r="L22" i="5" s="1"/>
  <c r="K20" i="5"/>
  <c r="L20" i="5" s="1"/>
  <c r="AF3" i="5" l="1"/>
  <c r="AB39" i="5"/>
  <c r="AC39" i="5" s="1"/>
  <c r="H21" i="5"/>
  <c r="K21" i="5" s="1"/>
  <c r="L21" i="5" s="1"/>
  <c r="I58" i="4"/>
  <c r="H59" i="4"/>
  <c r="H35" i="4" l="1"/>
  <c r="G35" i="4"/>
  <c r="F35" i="4"/>
  <c r="H44" i="4"/>
  <c r="E36" i="4"/>
  <c r="F3" i="4" l="1"/>
  <c r="F4" i="4"/>
  <c r="AE23" i="4"/>
  <c r="F34" i="4"/>
  <c r="E44" i="4"/>
  <c r="H21" i="4" l="1"/>
  <c r="I21" i="4" s="1"/>
  <c r="K21" i="4" s="1"/>
  <c r="H4" i="4"/>
  <c r="G4" i="4"/>
  <c r="G20" i="4"/>
  <c r="F20" i="4"/>
  <c r="E20" i="4"/>
  <c r="G6" i="4"/>
  <c r="E6" i="4"/>
  <c r="G5" i="4"/>
  <c r="F5" i="4"/>
  <c r="E5" i="4"/>
  <c r="E4" i="4"/>
  <c r="G3" i="4"/>
  <c r="E3" i="4"/>
  <c r="H53" i="4"/>
  <c r="G53" i="4"/>
  <c r="F53" i="4"/>
  <c r="E53" i="4"/>
  <c r="AE2" i="4"/>
  <c r="G52" i="4"/>
  <c r="F52" i="4"/>
  <c r="E52" i="4"/>
  <c r="E14" i="4" s="1"/>
  <c r="G55" i="4"/>
  <c r="E55" i="4"/>
  <c r="G54" i="4"/>
  <c r="F54" i="4"/>
  <c r="E54" i="4"/>
  <c r="AE47" i="4"/>
  <c r="AE64" i="4"/>
  <c r="G34" i="4"/>
  <c r="E49" i="4"/>
  <c r="E47" i="4"/>
  <c r="E42" i="4"/>
  <c r="E35" i="4" s="1"/>
  <c r="H41" i="4"/>
  <c r="E40" i="4"/>
  <c r="E39" i="4"/>
  <c r="E37" i="4"/>
  <c r="E34" i="4" s="1"/>
  <c r="H37" i="4"/>
  <c r="I46" i="4"/>
  <c r="L46" i="4" s="1"/>
  <c r="M46" i="4" s="1"/>
  <c r="AA3" i="2"/>
  <c r="I20" i="4" l="1"/>
  <c r="K20" i="4" s="1"/>
  <c r="C9" i="4"/>
  <c r="C11" i="4" s="1"/>
  <c r="H34" i="4"/>
  <c r="E20" i="2"/>
  <c r="E6" i="2" s="1"/>
  <c r="E14" i="2"/>
  <c r="E17" i="2"/>
  <c r="E13" i="2"/>
  <c r="E11" i="2"/>
  <c r="E10" i="2"/>
  <c r="E9" i="2"/>
  <c r="C10" i="4" l="1"/>
  <c r="E3" i="2"/>
  <c r="H15" i="5"/>
  <c r="K15" i="5" s="1"/>
  <c r="L15" i="5" s="1"/>
  <c r="H16" i="5" l="1"/>
  <c r="K16" i="5" s="1"/>
  <c r="L16" i="5" s="1"/>
  <c r="H14" i="5"/>
  <c r="K14" i="5" s="1"/>
  <c r="L14" i="5" s="1"/>
  <c r="H13" i="5"/>
  <c r="K13" i="5" s="1"/>
  <c r="L13" i="5" s="1"/>
  <c r="H29" i="5"/>
  <c r="K29" i="5" s="1"/>
  <c r="L29" i="5" s="1"/>
  <c r="H28" i="5"/>
  <c r="K28" i="5" s="1"/>
  <c r="L28" i="5" s="1"/>
  <c r="H27" i="5"/>
  <c r="K27" i="5" s="1"/>
  <c r="L27" i="5" s="1"/>
  <c r="H25" i="5"/>
  <c r="K25" i="5" s="1"/>
  <c r="L25" i="5" s="1"/>
  <c r="H19" i="5"/>
  <c r="K19" i="5" s="1"/>
  <c r="L19" i="5" s="1"/>
  <c r="H18" i="5"/>
  <c r="K18" i="5" s="1"/>
  <c r="L18" i="5" s="1"/>
  <c r="H31" i="5"/>
  <c r="K31" i="5" s="1"/>
  <c r="L31" i="5" s="1"/>
  <c r="K10" i="5"/>
  <c r="L10" i="5" s="1"/>
  <c r="K11" i="5" l="1"/>
  <c r="L11" i="5" s="1"/>
  <c r="G27" i="1" l="1"/>
  <c r="M28" i="1"/>
  <c r="M24" i="1" s="1"/>
  <c r="G28" i="1"/>
  <c r="J28" i="1" s="1"/>
  <c r="G25" i="1"/>
  <c r="G34" i="1"/>
  <c r="J30" i="1"/>
  <c r="G29" i="1"/>
  <c r="C95" i="1"/>
  <c r="H91" i="1"/>
  <c r="I91" i="1" s="1"/>
  <c r="J91" i="1" s="1"/>
  <c r="C80" i="1" l="1"/>
  <c r="I80" i="1" s="1"/>
  <c r="I79" i="1"/>
  <c r="J79" i="1" s="1"/>
  <c r="M108" i="1"/>
  <c r="M66" i="1" s="1"/>
  <c r="N41" i="1"/>
  <c r="N42" i="1"/>
  <c r="I53" i="1"/>
  <c r="J53" i="1" s="1"/>
  <c r="C52" i="1"/>
  <c r="I59" i="1"/>
  <c r="J59" i="1" s="1"/>
  <c r="I56" i="1"/>
  <c r="M116" i="1"/>
  <c r="N124" i="1"/>
  <c r="I125" i="1"/>
  <c r="J125" i="1" s="1"/>
  <c r="H125" i="1"/>
  <c r="M3" i="1"/>
  <c r="G23" i="1"/>
  <c r="M17" i="1"/>
  <c r="G19" i="1"/>
  <c r="G18" i="1"/>
  <c r="G21" i="1"/>
  <c r="G20" i="1"/>
  <c r="H192" i="1"/>
  <c r="I192" i="1" s="1"/>
  <c r="H189" i="1"/>
  <c r="I189" i="1" s="1"/>
  <c r="C187" i="1"/>
  <c r="C179" i="1"/>
  <c r="C177" i="1"/>
  <c r="I174" i="1"/>
  <c r="H173" i="1"/>
  <c r="I173" i="1" s="1"/>
  <c r="C171" i="1"/>
  <c r="H170" i="1"/>
  <c r="I170" i="1" s="1"/>
  <c r="C168" i="1"/>
  <c r="H167" i="1"/>
  <c r="I167" i="1" s="1"/>
  <c r="C165" i="1"/>
  <c r="C163" i="1"/>
  <c r="C164" i="1"/>
  <c r="H158" i="1"/>
  <c r="I158" i="1" s="1"/>
  <c r="I151" i="1"/>
  <c r="I149" i="1"/>
  <c r="C139" i="1"/>
  <c r="M39" i="1" l="1"/>
  <c r="J80" i="1"/>
  <c r="J56" i="1"/>
  <c r="H224" i="1"/>
  <c r="C222" i="1"/>
  <c r="H226" i="1"/>
  <c r="I226" i="1" s="1"/>
  <c r="H216" i="1"/>
  <c r="H211" i="1"/>
  <c r="I211" i="1" s="1"/>
  <c r="C273" i="1"/>
  <c r="C271" i="1"/>
  <c r="H266" i="1"/>
  <c r="I266" i="1" s="1"/>
  <c r="I267" i="1"/>
  <c r="H268" i="1"/>
  <c r="I268" i="1" s="1"/>
  <c r="C264" i="1"/>
  <c r="C262" i="1"/>
  <c r="C258" i="1"/>
  <c r="C247" i="1"/>
  <c r="C245" i="1"/>
  <c r="F293" i="1"/>
  <c r="F291" i="1"/>
  <c r="C335" i="1" l="1"/>
  <c r="C329" i="1"/>
  <c r="H342" i="1"/>
  <c r="I342" i="1" s="1"/>
  <c r="H341" i="1"/>
  <c r="I341" i="1" s="1"/>
  <c r="I340" i="1"/>
  <c r="H346" i="1"/>
  <c r="I346" i="1" s="1"/>
  <c r="M344" i="1"/>
  <c r="M321" i="1"/>
  <c r="H309" i="1"/>
  <c r="I309" i="1" s="1"/>
  <c r="C310" i="1"/>
  <c r="H310" i="1" s="1"/>
  <c r="I310" i="1" s="1"/>
  <c r="H312" i="1"/>
  <c r="I312" i="1" s="1"/>
  <c r="H311" i="1"/>
  <c r="I311" i="1" s="1"/>
  <c r="C308" i="1"/>
  <c r="H308" i="1" s="1"/>
  <c r="I308" i="1" s="1"/>
  <c r="I306" i="1"/>
  <c r="C303" i="1"/>
  <c r="D303" i="1"/>
  <c r="D302" i="1"/>
  <c r="C302" i="1"/>
  <c r="C301" i="1"/>
  <c r="M315" i="1"/>
  <c r="G354" i="1"/>
  <c r="G435" i="1"/>
  <c r="G427" i="1" s="1"/>
  <c r="G379" i="1"/>
  <c r="N428" i="1"/>
  <c r="G452" i="1"/>
  <c r="G448" i="1"/>
  <c r="G444" i="1"/>
  <c r="G440" i="1"/>
  <c r="G423" i="1"/>
  <c r="G419" i="1"/>
  <c r="G415" i="1"/>
  <c r="G411" i="1"/>
  <c r="G407" i="1"/>
  <c r="G403" i="1"/>
  <c r="G399" i="1"/>
  <c r="G395" i="1"/>
  <c r="G391" i="1"/>
  <c r="G387" i="1"/>
  <c r="G383" i="1"/>
  <c r="G375" i="1"/>
  <c r="G371" i="1"/>
  <c r="M232" i="1"/>
  <c r="C231" i="1"/>
  <c r="D231" i="1"/>
  <c r="C234" i="1"/>
  <c r="D234" i="1"/>
  <c r="C235" i="1"/>
  <c r="D235" i="1"/>
  <c r="G436" i="1" l="1"/>
  <c r="N307" i="1"/>
  <c r="H298" i="1"/>
  <c r="I235" i="1"/>
  <c r="I234" i="1"/>
  <c r="G15" i="4"/>
  <c r="F15" i="4"/>
  <c r="E15" i="4"/>
  <c r="H15" i="4"/>
  <c r="H14" i="4"/>
  <c r="G14" i="4"/>
  <c r="F14" i="4"/>
  <c r="F16" i="4"/>
  <c r="G16" i="4"/>
  <c r="E16" i="4"/>
  <c r="H17" i="4"/>
  <c r="H16" i="4"/>
  <c r="G17" i="4"/>
  <c r="F17" i="4"/>
  <c r="E17" i="4"/>
  <c r="I50" i="4"/>
  <c r="L50" i="4" s="1"/>
  <c r="M50" i="4" s="1"/>
  <c r="I27" i="4"/>
  <c r="L27" i="4" s="1"/>
  <c r="M27" i="4" s="1"/>
  <c r="I14" i="4" l="1"/>
  <c r="I17" i="4"/>
  <c r="I16" i="4"/>
  <c r="I15" i="4"/>
  <c r="G20" i="2"/>
  <c r="F20" i="2"/>
  <c r="K14" i="4" l="1"/>
  <c r="F3" i="2"/>
  <c r="F6" i="2"/>
  <c r="G6" i="2"/>
  <c r="G3" i="2"/>
  <c r="G13" i="2"/>
  <c r="F10" i="2"/>
  <c r="G9" i="2"/>
  <c r="F9" i="2"/>
  <c r="H6" i="2" l="1"/>
  <c r="J6" i="2" s="1"/>
  <c r="H3" i="2"/>
  <c r="J3" i="2" s="1"/>
  <c r="H13" i="2"/>
  <c r="K13" i="2" s="1"/>
  <c r="H14" i="2"/>
  <c r="K14" i="2" s="1"/>
  <c r="H15" i="2"/>
  <c r="K15" i="2" s="1"/>
  <c r="H18" i="2" l="1"/>
  <c r="K18" i="2" s="1"/>
  <c r="L18" i="2" s="1"/>
  <c r="I55" i="4"/>
  <c r="L55" i="4" s="1"/>
  <c r="M55" i="4" s="1"/>
  <c r="I52" i="4"/>
  <c r="L52" i="4" s="1"/>
  <c r="M52" i="4" s="1"/>
  <c r="I49" i="4"/>
  <c r="L49" i="4" s="1"/>
  <c r="M49" i="4" s="1"/>
  <c r="I48" i="4"/>
  <c r="L48" i="4" s="1"/>
  <c r="M48" i="4" s="1"/>
  <c r="I47" i="4"/>
  <c r="L47" i="4" s="1"/>
  <c r="M47" i="4" s="1"/>
  <c r="I45" i="4"/>
  <c r="L45" i="4" s="1"/>
  <c r="M45" i="4" s="1"/>
  <c r="I44" i="4"/>
  <c r="L44" i="4" s="1"/>
  <c r="M44" i="4" s="1"/>
  <c r="I43" i="4"/>
  <c r="L43" i="4" s="1"/>
  <c r="M43" i="4" s="1"/>
  <c r="I42" i="4"/>
  <c r="L42" i="4" s="1"/>
  <c r="M42" i="4" s="1"/>
  <c r="I41" i="4"/>
  <c r="L41" i="4" s="1"/>
  <c r="M41" i="4" s="1"/>
  <c r="I40" i="4"/>
  <c r="L40" i="4" s="1"/>
  <c r="M40" i="4" s="1"/>
  <c r="I39" i="4"/>
  <c r="L39" i="4" s="1"/>
  <c r="M39" i="4" s="1"/>
  <c r="I38" i="4"/>
  <c r="L38" i="4" s="1"/>
  <c r="M38" i="4" s="1"/>
  <c r="I37" i="4"/>
  <c r="L37" i="4" s="1"/>
  <c r="M37" i="4" s="1"/>
  <c r="I36" i="4"/>
  <c r="L36" i="4" s="1"/>
  <c r="M36" i="4" s="1"/>
  <c r="I35" i="4"/>
  <c r="L35" i="4" s="1"/>
  <c r="M35" i="4" s="1"/>
  <c r="I33" i="4"/>
  <c r="L33" i="4" s="1"/>
  <c r="M33" i="4" s="1"/>
  <c r="I32" i="4"/>
  <c r="L32" i="4" s="1"/>
  <c r="M32" i="4" s="1"/>
  <c r="I31" i="4"/>
  <c r="L31" i="4" s="1"/>
  <c r="M31" i="4" s="1"/>
  <c r="I28" i="4"/>
  <c r="L28" i="4" s="1"/>
  <c r="M28" i="4" s="1"/>
  <c r="H20" i="2"/>
  <c r="K20" i="2" s="1"/>
  <c r="L20" i="2" s="1"/>
  <c r="H17" i="2"/>
  <c r="K17" i="2" s="1"/>
  <c r="L17" i="2" s="1"/>
  <c r="L15" i="2"/>
  <c r="L14" i="2"/>
  <c r="L13" i="2"/>
  <c r="H12" i="2"/>
  <c r="K12" i="2" s="1"/>
  <c r="L12" i="2" s="1"/>
  <c r="H11" i="2"/>
  <c r="K11" i="2" s="1"/>
  <c r="L11" i="2" s="1"/>
  <c r="H10" i="2"/>
  <c r="K10" i="2" s="1"/>
  <c r="L10" i="2" s="1"/>
  <c r="H9" i="2"/>
  <c r="K9" i="2" s="1"/>
  <c r="L9" i="2" s="1"/>
  <c r="I54" i="4" l="1"/>
  <c r="L54" i="4" s="1"/>
  <c r="M54" i="4" s="1"/>
  <c r="I53" i="4"/>
  <c r="L53" i="4" s="1"/>
  <c r="M53" i="4" s="1"/>
  <c r="O428" i="1" l="1"/>
  <c r="G35" i="1" l="1"/>
  <c r="J35" i="1" s="1"/>
  <c r="M208" i="1"/>
  <c r="O285" i="1"/>
  <c r="O284" i="1"/>
  <c r="O283" i="1"/>
  <c r="O282" i="1"/>
  <c r="O281" i="1"/>
  <c r="O280" i="1"/>
  <c r="O279" i="1"/>
  <c r="O278" i="1"/>
  <c r="N35" i="1" l="1"/>
  <c r="O35" i="1" s="1"/>
  <c r="G24" i="1"/>
  <c r="N19" i="1"/>
  <c r="O19" i="1" s="1"/>
  <c r="N21" i="1"/>
  <c r="O21" i="1" s="1"/>
  <c r="N20" i="1"/>
  <c r="O20" i="1" s="1"/>
  <c r="M298" i="1"/>
  <c r="M317" i="1" s="1"/>
  <c r="N23" i="1" l="1"/>
  <c r="O23" i="1" s="1"/>
  <c r="N18" i="1"/>
  <c r="O18" i="1" s="1"/>
  <c r="I181" i="1"/>
  <c r="C178" i="1"/>
  <c r="I172" i="1"/>
  <c r="I52" i="1"/>
  <c r="I97" i="1"/>
  <c r="J97" i="1" s="1"/>
  <c r="I96" i="1"/>
  <c r="J96" i="1" s="1"/>
  <c r="I95" i="1"/>
  <c r="J95" i="1" s="1"/>
  <c r="J48" i="1"/>
  <c r="J52" i="1" l="1"/>
  <c r="J51" i="1" s="1"/>
  <c r="I51" i="1"/>
  <c r="I163" i="1"/>
  <c r="I48" i="1"/>
  <c r="N48" i="1" s="1"/>
  <c r="O48" i="1" s="1"/>
  <c r="I69" i="1"/>
  <c r="C70" i="1"/>
  <c r="I70" i="1" s="1"/>
  <c r="J70" i="1" s="1"/>
  <c r="H92" i="1"/>
  <c r="I92" i="1" s="1"/>
  <c r="J92" i="1" s="1"/>
  <c r="I78" i="1"/>
  <c r="J78" i="1" s="1"/>
  <c r="I113" i="1"/>
  <c r="J113" i="1" s="1"/>
  <c r="I46" i="1"/>
  <c r="J46" i="1" s="1"/>
  <c r="I41" i="1"/>
  <c r="J41" i="1" s="1"/>
  <c r="J69" i="1" l="1"/>
  <c r="C62" i="1"/>
  <c r="I62" i="1" s="1"/>
  <c r="H38" i="1" l="1"/>
  <c r="J38" i="1" s="1"/>
  <c r="C137" i="1"/>
  <c r="I132" i="1"/>
  <c r="I216" i="1"/>
  <c r="H215" i="1"/>
  <c r="I215" i="1" s="1"/>
  <c r="I214" i="1"/>
  <c r="I213" i="1"/>
  <c r="F220" i="1"/>
  <c r="D220" i="1"/>
  <c r="H220" i="1" s="1"/>
  <c r="I220" i="1" s="1"/>
  <c r="D218" i="1"/>
  <c r="C218" i="1"/>
  <c r="F224" i="1"/>
  <c r="H222" i="1"/>
  <c r="I222" i="1" s="1"/>
  <c r="I205" i="1"/>
  <c r="I203" i="1"/>
  <c r="D238" i="1"/>
  <c r="C238" i="1"/>
  <c r="D236" i="1"/>
  <c r="M234" i="1"/>
  <c r="H284" i="1"/>
  <c r="H281" i="1"/>
  <c r="C276" i="1"/>
  <c r="C274" i="1"/>
  <c r="C260" i="1"/>
  <c r="H218" i="1" l="1"/>
  <c r="I218" i="1" s="1"/>
  <c r="N24" i="1"/>
  <c r="O24" i="1" s="1"/>
  <c r="I238" i="1"/>
  <c r="I295" i="1"/>
  <c r="I294" i="1"/>
  <c r="I292" i="1"/>
  <c r="C291" i="1"/>
  <c r="I291" i="1" s="1"/>
  <c r="I293" i="1" l="1"/>
  <c r="H326" i="1"/>
  <c r="I326" i="1" s="1"/>
  <c r="I290" i="1" l="1"/>
  <c r="G367" i="1"/>
  <c r="G365" i="1"/>
  <c r="G363" i="1"/>
  <c r="I112" i="1" l="1"/>
  <c r="J112" i="1" s="1"/>
  <c r="I115" i="1"/>
  <c r="J115" i="1" s="1"/>
  <c r="I111" i="1"/>
  <c r="J111" i="1" s="1"/>
  <c r="I109" i="1"/>
  <c r="I105" i="1"/>
  <c r="J105" i="1" s="1"/>
  <c r="I106" i="1"/>
  <c r="J106" i="1" s="1"/>
  <c r="I104" i="1"/>
  <c r="J104" i="1" s="1"/>
  <c r="I103" i="1"/>
  <c r="J103" i="1" s="1"/>
  <c r="I102" i="1"/>
  <c r="J102" i="1" s="1"/>
  <c r="I101" i="1"/>
  <c r="J101" i="1" s="1"/>
  <c r="I100" i="1"/>
  <c r="J100" i="1" s="1"/>
  <c r="I86" i="1"/>
  <c r="J86" i="1" s="1"/>
  <c r="I84" i="1"/>
  <c r="J84" i="1" s="1"/>
  <c r="I90" i="1"/>
  <c r="J90" i="1" s="1"/>
  <c r="I89" i="1"/>
  <c r="J89" i="1" s="1"/>
  <c r="I88" i="1"/>
  <c r="J88" i="1" s="1"/>
  <c r="I87" i="1"/>
  <c r="J87" i="1" s="1"/>
  <c r="I85" i="1"/>
  <c r="J85" i="1" s="1"/>
  <c r="I83" i="1"/>
  <c r="J83" i="1" s="1"/>
  <c r="I77" i="1"/>
  <c r="J77" i="1" s="1"/>
  <c r="I76" i="1"/>
  <c r="J76" i="1" s="1"/>
  <c r="I75" i="1"/>
  <c r="J75" i="1" s="1"/>
  <c r="I74" i="1"/>
  <c r="J74" i="1" s="1"/>
  <c r="I73" i="1"/>
  <c r="I118" i="1"/>
  <c r="J118" i="1" s="1"/>
  <c r="I121" i="1"/>
  <c r="J121" i="1" s="1"/>
  <c r="I126" i="1"/>
  <c r="J126" i="1" s="1"/>
  <c r="I122" i="1"/>
  <c r="J122" i="1" s="1"/>
  <c r="C65" i="1"/>
  <c r="I65" i="1" s="1"/>
  <c r="J65" i="1" s="1"/>
  <c r="C64" i="1"/>
  <c r="C63" i="1"/>
  <c r="I66" i="1" l="1"/>
  <c r="N66" i="1" s="1"/>
  <c r="N108" i="1"/>
  <c r="O108" i="1" s="1"/>
  <c r="N67" i="1"/>
  <c r="O67" i="1" s="1"/>
  <c r="J73" i="1"/>
  <c r="J109" i="1"/>
  <c r="I117" i="1"/>
  <c r="I124" i="1"/>
  <c r="J124" i="1" s="1"/>
  <c r="I120" i="1"/>
  <c r="J120" i="1" s="1"/>
  <c r="I6" i="1"/>
  <c r="J6" i="1" s="1"/>
  <c r="I5" i="1"/>
  <c r="J5" i="1" s="1"/>
  <c r="I4" i="1"/>
  <c r="N26" i="1"/>
  <c r="O26" i="1" s="1"/>
  <c r="J26" i="1"/>
  <c r="G14" i="1"/>
  <c r="N14" i="1" s="1"/>
  <c r="J16" i="1"/>
  <c r="I16" i="1"/>
  <c r="J15" i="1"/>
  <c r="I15" i="1"/>
  <c r="N25" i="1"/>
  <c r="O25" i="1" s="1"/>
  <c r="N36" i="1"/>
  <c r="O36" i="1" s="1"/>
  <c r="N33" i="1"/>
  <c r="O33" i="1" s="1"/>
  <c r="N31" i="1"/>
  <c r="O31" i="1" s="1"/>
  <c r="N30" i="1"/>
  <c r="O30" i="1" s="1"/>
  <c r="N27" i="1"/>
  <c r="O27" i="1" s="1"/>
  <c r="J34" i="1"/>
  <c r="J36" i="1"/>
  <c r="G17" i="1"/>
  <c r="J21" i="1"/>
  <c r="J31" i="1"/>
  <c r="J29" i="1"/>
  <c r="I43" i="1"/>
  <c r="J43" i="1" s="1"/>
  <c r="I42" i="1"/>
  <c r="C152" i="1"/>
  <c r="I152" i="1" s="1"/>
  <c r="I191" i="1"/>
  <c r="I178" i="1"/>
  <c r="I164" i="1"/>
  <c r="I116" i="1" l="1"/>
  <c r="N116" i="1" s="1"/>
  <c r="J42" i="1"/>
  <c r="J39" i="1" s="1"/>
  <c r="I39" i="1"/>
  <c r="J117" i="1"/>
  <c r="J116" i="1" s="1"/>
  <c r="J4" i="1"/>
  <c r="J3" i="1" s="1"/>
  <c r="I3" i="1"/>
  <c r="N3" i="1" s="1"/>
  <c r="I14" i="1"/>
  <c r="J14" i="1"/>
  <c r="N51" i="1"/>
  <c r="N29" i="1"/>
  <c r="O29" i="1" s="1"/>
  <c r="N28" i="1"/>
  <c r="O28" i="1" s="1"/>
  <c r="N34" i="1"/>
  <c r="O34" i="1" s="1"/>
  <c r="C138" i="1"/>
  <c r="G138" i="1"/>
  <c r="G136" i="1" s="1"/>
  <c r="G142" i="1"/>
  <c r="G140" i="1"/>
  <c r="C143" i="1"/>
  <c r="H143" i="1" s="1"/>
  <c r="H142" i="1" s="1"/>
  <c r="N142" i="1" s="1"/>
  <c r="C141" i="1"/>
  <c r="H141" i="1" s="1"/>
  <c r="I135" i="1"/>
  <c r="I212" i="1"/>
  <c r="I219" i="1"/>
  <c r="I223" i="1"/>
  <c r="I227" i="1"/>
  <c r="I204" i="1"/>
  <c r="I198" i="1"/>
  <c r="I197" i="1"/>
  <c r="I202" i="1"/>
  <c r="I201" i="1"/>
  <c r="I273" i="1"/>
  <c r="C272" i="1"/>
  <c r="I276" i="1"/>
  <c r="I275" i="1"/>
  <c r="I274" i="1"/>
  <c r="I265" i="1"/>
  <c r="I263" i="1"/>
  <c r="I261" i="1"/>
  <c r="C259" i="1"/>
  <c r="I259" i="1" s="1"/>
  <c r="I246" i="1"/>
  <c r="H289" i="1"/>
  <c r="H288" i="1"/>
  <c r="H286" i="1"/>
  <c r="H285" i="1"/>
  <c r="H283" i="1"/>
  <c r="H280" i="1"/>
  <c r="I305" i="1"/>
  <c r="I304" i="1"/>
  <c r="I303" i="1"/>
  <c r="G359" i="1"/>
  <c r="N359" i="1" s="1"/>
  <c r="O359" i="1" s="1"/>
  <c r="G357" i="1"/>
  <c r="N357" i="1" s="1"/>
  <c r="O357" i="1" s="1"/>
  <c r="N363" i="1"/>
  <c r="O363" i="1" s="1"/>
  <c r="I364" i="1"/>
  <c r="N346" i="1"/>
  <c r="O346" i="1" s="1"/>
  <c r="H345" i="1"/>
  <c r="I345" i="1" s="1"/>
  <c r="N345" i="1" s="1"/>
  <c r="O345" i="1" s="1"/>
  <c r="I344" i="1"/>
  <c r="I333" i="1"/>
  <c r="I332" i="1"/>
  <c r="D331" i="1"/>
  <c r="I331" i="1" s="1"/>
  <c r="I335" i="1"/>
  <c r="I337" i="1"/>
  <c r="I336" i="1"/>
  <c r="I330" i="1"/>
  <c r="I329" i="1"/>
  <c r="I325" i="1"/>
  <c r="H323" i="1"/>
  <c r="I323" i="1" s="1"/>
  <c r="O142" i="1" l="1"/>
  <c r="N432" i="1"/>
  <c r="O432" i="1" s="1"/>
  <c r="H137" i="1"/>
  <c r="H138" i="1"/>
  <c r="H140" i="1"/>
  <c r="N140" i="1" s="1"/>
  <c r="H139" i="1"/>
  <c r="I224" i="1"/>
  <c r="I210" i="1" s="1"/>
  <c r="I200" i="1"/>
  <c r="I196" i="1"/>
  <c r="I199" i="1"/>
  <c r="I231" i="1"/>
  <c r="I271" i="1"/>
  <c r="I272" i="1"/>
  <c r="O344" i="1"/>
  <c r="I327" i="1"/>
  <c r="H325" i="1"/>
  <c r="N325" i="1"/>
  <c r="O325" i="1" s="1"/>
  <c r="N427" i="1"/>
  <c r="G351" i="1"/>
  <c r="G355" i="1"/>
  <c r="I355" i="1" s="1"/>
  <c r="G353" i="1"/>
  <c r="G349" i="1"/>
  <c r="I366" i="1"/>
  <c r="N365" i="1"/>
  <c r="O365" i="1" s="1"/>
  <c r="O232" i="1"/>
  <c r="N452" i="1"/>
  <c r="O452" i="1" s="1"/>
  <c r="N444" i="1"/>
  <c r="O444" i="1" s="1"/>
  <c r="N448" i="1"/>
  <c r="O448" i="1" s="1"/>
  <c r="N436" i="1"/>
  <c r="O436" i="1" s="1"/>
  <c r="I209" i="1" l="1"/>
  <c r="I208" i="1" s="1"/>
  <c r="N208" i="1" s="1"/>
  <c r="N351" i="1"/>
  <c r="O351" i="1" s="1"/>
  <c r="I351" i="1"/>
  <c r="N210" i="1"/>
  <c r="O210" i="1" s="1"/>
  <c r="I195" i="1"/>
  <c r="N195" i="1" s="1"/>
  <c r="H136" i="1"/>
  <c r="N136" i="1" s="1"/>
  <c r="O136" i="1" s="1"/>
  <c r="N327" i="1"/>
  <c r="O327" i="1" s="1"/>
  <c r="N353" i="1"/>
  <c r="O353" i="1" s="1"/>
  <c r="N355" i="1"/>
  <c r="O355" i="1" s="1"/>
  <c r="I63" i="1"/>
  <c r="J63" i="1" s="1"/>
  <c r="I64" i="1"/>
  <c r="G39" i="1"/>
  <c r="J37" i="1"/>
  <c r="G37" i="1"/>
  <c r="D3" i="1"/>
  <c r="J25" i="1"/>
  <c r="J19" i="1"/>
  <c r="N209" i="1" l="1"/>
  <c r="O209" i="1" s="1"/>
  <c r="J64" i="1"/>
  <c r="H37" i="1"/>
  <c r="N39" i="1"/>
  <c r="O39" i="1" s="1"/>
  <c r="J66" i="1" l="1"/>
  <c r="O51" i="1"/>
  <c r="I11" i="1"/>
  <c r="J11" i="1" s="1"/>
  <c r="I190" i="1"/>
  <c r="I187" i="1"/>
  <c r="I186" i="1"/>
  <c r="I188" i="1"/>
  <c r="I185" i="1"/>
  <c r="I177" i="1"/>
  <c r="I182" i="1"/>
  <c r="I180" i="1"/>
  <c r="I179" i="1"/>
  <c r="I171" i="1"/>
  <c r="I168" i="1"/>
  <c r="I166" i="1"/>
  <c r="I169" i="1"/>
  <c r="I165" i="1"/>
  <c r="I156" i="1"/>
  <c r="I157" i="1"/>
  <c r="I155" i="1"/>
  <c r="I160" i="1"/>
  <c r="I159" i="1"/>
  <c r="I148" i="1"/>
  <c r="I147" i="1"/>
  <c r="I146" i="1" l="1"/>
  <c r="N146" i="1" s="1"/>
  <c r="I131" i="1" l="1"/>
  <c r="I236" i="1"/>
  <c r="I230" i="1" s="1"/>
  <c r="N131" i="1" l="1"/>
  <c r="O131" i="1" s="1"/>
  <c r="H282" i="1"/>
  <c r="H279" i="1"/>
  <c r="I251" i="1"/>
  <c r="I253" i="1"/>
  <c r="I248" i="1"/>
  <c r="I243" i="1"/>
  <c r="I247" i="1"/>
  <c r="I245" i="1"/>
  <c r="I244" i="1"/>
  <c r="I264" i="1"/>
  <c r="I262" i="1"/>
  <c r="I260" i="1"/>
  <c r="I258" i="1"/>
  <c r="H277" i="1" l="1"/>
  <c r="O277" i="1" l="1"/>
  <c r="O307" i="1"/>
  <c r="I301" i="1"/>
  <c r="I300" i="1"/>
  <c r="I302" i="1"/>
  <c r="H322" i="1"/>
  <c r="H324" i="1"/>
  <c r="I324" i="1" s="1"/>
  <c r="N440" i="1"/>
  <c r="O440" i="1" s="1"/>
  <c r="N387" i="1"/>
  <c r="O387" i="1" s="1"/>
  <c r="O427" i="1"/>
  <c r="N423" i="1"/>
  <c r="O423" i="1" s="1"/>
  <c r="N419" i="1"/>
  <c r="O419" i="1" s="1"/>
  <c r="N415" i="1"/>
  <c r="O415" i="1" s="1"/>
  <c r="N411" i="1"/>
  <c r="O411" i="1" s="1"/>
  <c r="N407" i="1"/>
  <c r="O407" i="1" s="1"/>
  <c r="N403" i="1"/>
  <c r="O403" i="1" s="1"/>
  <c r="N399" i="1"/>
  <c r="O399" i="1" s="1"/>
  <c r="N395" i="1"/>
  <c r="O395" i="1" s="1"/>
  <c r="N391" i="1"/>
  <c r="O391" i="1" s="1"/>
  <c r="N383" i="1"/>
  <c r="O383" i="1" s="1"/>
  <c r="N379" i="1"/>
  <c r="O379" i="1" s="1"/>
  <c r="N375" i="1"/>
  <c r="O375" i="1" s="1"/>
  <c r="N371" i="1"/>
  <c r="I298" i="1" l="1"/>
  <c r="N299" i="1"/>
  <c r="O299" i="1" s="1"/>
  <c r="O234" i="1"/>
  <c r="M230" i="1" s="1"/>
  <c r="H321" i="1"/>
  <c r="I322" i="1"/>
  <c r="I321" i="1" s="1"/>
  <c r="N298" i="1" l="1"/>
  <c r="I318" i="1"/>
  <c r="O371" i="1"/>
  <c r="I368" i="1"/>
  <c r="N367" i="1"/>
  <c r="O367" i="1" s="1"/>
  <c r="N349" i="1"/>
  <c r="O349" i="1" s="1"/>
  <c r="I349" i="1"/>
  <c r="I255" i="1"/>
  <c r="I254" i="1"/>
  <c r="I252" i="1"/>
  <c r="I241" i="1" s="1"/>
  <c r="I134" i="1"/>
  <c r="I133" i="1" s="1"/>
  <c r="I150" i="1" l="1"/>
  <c r="N150" i="1" s="1"/>
  <c r="O150" i="1" s="1"/>
  <c r="N230" i="1"/>
  <c r="N321" i="1"/>
  <c r="O321" i="1" s="1"/>
  <c r="I317" i="1"/>
  <c r="N317" i="1" s="1"/>
  <c r="O317" i="1" s="1"/>
  <c r="N290" i="1"/>
  <c r="O290" i="1" s="1"/>
  <c r="O208" i="1"/>
  <c r="O146" i="1"/>
  <c r="O140" i="1"/>
  <c r="J27" i="1"/>
  <c r="O14" i="1"/>
  <c r="J33" i="1"/>
  <c r="J23" i="1"/>
  <c r="J22" i="1" s="1"/>
  <c r="G22" i="1"/>
  <c r="J20" i="1"/>
  <c r="J18" i="1"/>
  <c r="I13" i="1"/>
  <c r="J13" i="1" s="1"/>
  <c r="I12" i="1"/>
  <c r="J12" i="1" s="1"/>
  <c r="G10" i="1"/>
  <c r="N10" i="1" s="1"/>
  <c r="O10" i="1" s="1"/>
  <c r="I9" i="1"/>
  <c r="J9" i="1" s="1"/>
  <c r="I8" i="1"/>
  <c r="J8" i="1" s="1"/>
  <c r="G7" i="1"/>
  <c r="N7" i="1" s="1"/>
  <c r="O7" i="1" s="1"/>
  <c r="I54" i="1" l="1"/>
  <c r="N54" i="1" s="1"/>
  <c r="I316" i="1"/>
  <c r="I315" i="1" s="1"/>
  <c r="N315" i="1" s="1"/>
  <c r="O315" i="1" s="1"/>
  <c r="J24" i="1"/>
  <c r="O230" i="1"/>
  <c r="J62" i="1"/>
  <c r="J54" i="1" s="1"/>
  <c r="O298" i="1"/>
  <c r="N241" i="1"/>
  <c r="O241" i="1" s="1"/>
  <c r="N133" i="1"/>
  <c r="O133" i="1" s="1"/>
  <c r="O116" i="1"/>
  <c r="O66" i="1"/>
  <c r="O3" i="1"/>
  <c r="N17" i="1"/>
  <c r="O17" i="1" s="1"/>
  <c r="N22" i="1"/>
  <c r="O22" i="1" s="1"/>
  <c r="J10" i="1"/>
  <c r="J7" i="1"/>
  <c r="J17" i="1"/>
  <c r="O54" i="1" l="1"/>
  <c r="I34" i="4"/>
  <c r="L34" i="4" s="1"/>
  <c r="M34" i="4" s="1"/>
  <c r="O195" i="1"/>
</calcChain>
</file>

<file path=xl/sharedStrings.xml><?xml version="1.0" encoding="utf-8"?>
<sst xmlns="http://schemas.openxmlformats.org/spreadsheetml/2006/main" count="1434" uniqueCount="469">
  <si>
    <t>REMOÇÕES E DEMOLIÇÕES</t>
  </si>
  <si>
    <t>Unid.</t>
  </si>
  <si>
    <t>C (m)</t>
  </si>
  <si>
    <t>L (m)</t>
  </si>
  <si>
    <t>e (m)</t>
  </si>
  <si>
    <t>h (m)</t>
  </si>
  <si>
    <t>P (m)</t>
  </si>
  <si>
    <t>A (m²)</t>
  </si>
  <si>
    <t>V (m³)</t>
  </si>
  <si>
    <t>Considerações</t>
  </si>
  <si>
    <t>m²</t>
  </si>
  <si>
    <t>REMOÇÃO DE TOMADAS E/OU INTERRUPTORES</t>
  </si>
  <si>
    <t>Tomadas</t>
  </si>
  <si>
    <t>Interruptores</t>
  </si>
  <si>
    <t>REMOÇÃO DE LUMINÁRIAS</t>
  </si>
  <si>
    <t>Plafonier</t>
  </si>
  <si>
    <t>Tubular</t>
  </si>
  <si>
    <t>E</t>
  </si>
  <si>
    <t>W</t>
  </si>
  <si>
    <t>REMOÇÃO DE LOUÇAS SANITÁRIAS</t>
  </si>
  <si>
    <t>Lavatórios</t>
  </si>
  <si>
    <t>Bacia sanitária</t>
  </si>
  <si>
    <t>REMOÇÃO DE METAIS SANITÁRIOS</t>
  </si>
  <si>
    <t>Torneiras</t>
  </si>
  <si>
    <t>REMOÇÃO DE ACESSÓRIOS</t>
  </si>
  <si>
    <t>Espelhos</t>
  </si>
  <si>
    <t>DEMOLIÇÃO DE ALVENARIA DE BLOCO CERÂMICO</t>
  </si>
  <si>
    <t>S</t>
  </si>
  <si>
    <t>DEMOLIÇÃO DE REVESTIMENTO CERÂMICO - PISO E PAREDES</t>
  </si>
  <si>
    <t>N</t>
  </si>
  <si>
    <t>DEMOLIÇÃO DE ARGAMASSAS (ATÉ 5CM) - CONTRAPISO</t>
  </si>
  <si>
    <t>m</t>
  </si>
  <si>
    <t>CARGA MANUAL DE ENTULHO</t>
  </si>
  <si>
    <t>TRANSPORTE COM CAMINHÃO BASCULANTE DE 6M³</t>
  </si>
  <si>
    <t>REMOÇÃO DE FORRO</t>
  </si>
  <si>
    <t>m2</t>
  </si>
  <si>
    <t>Tabelado</t>
  </si>
  <si>
    <t>Variação</t>
  </si>
  <si>
    <t>Folga de 2cm das fixações.</t>
  </si>
  <si>
    <t>Ralos</t>
  </si>
  <si>
    <t>Valvula de descarga</t>
  </si>
  <si>
    <t xml:space="preserve"> </t>
  </si>
  <si>
    <t>Porta papel toalha</t>
  </si>
  <si>
    <t>m3</t>
  </si>
  <si>
    <t>PAREDES</t>
  </si>
  <si>
    <t>Janela</t>
  </si>
  <si>
    <t>PISOS</t>
  </si>
  <si>
    <t>m3/km</t>
  </si>
  <si>
    <t>ALVENARIAS</t>
  </si>
  <si>
    <t>IMPERMEABILIZAÇÃO</t>
  </si>
  <si>
    <t>H1</t>
  </si>
  <si>
    <t>ALVENARIA DE 15CM/17CM</t>
  </si>
  <si>
    <t>V1</t>
  </si>
  <si>
    <t>APLICAÇÃO DE CHAPISCO</t>
  </si>
  <si>
    <t>APLICAÇÃO MASSA ÚNICA</t>
  </si>
  <si>
    <t>Paredes novas: TODAS.
Paredes com cerâmica: TODAS 
Demais paredes: onde era cerâmica e será aplicada pintura</t>
  </si>
  <si>
    <t>Requadro P2</t>
  </si>
  <si>
    <t>IMPERMEABILIZAÇÃO ARGAMASSA POLIMÉRICA</t>
  </si>
  <si>
    <t>Somente paredes novas.</t>
  </si>
  <si>
    <t>Alvenaria</t>
  </si>
  <si>
    <t>P1 (80x210)</t>
  </si>
  <si>
    <t>REVESTIMENTOS ARGAMASSADOS - PAREDE</t>
  </si>
  <si>
    <t>REVESTIMENTOS ARGAMASSADOS - PISO</t>
  </si>
  <si>
    <t>FORRO</t>
  </si>
  <si>
    <t>h(m)</t>
  </si>
  <si>
    <t>FORRO MODULADO REMOVÍVEL EM FIBRAMINERAL</t>
  </si>
  <si>
    <t>REVESTIMENTO DECORATIVO - PAREDE</t>
  </si>
  <si>
    <t>[PAREDE 1] REVESTIMENTO CERÂMICO BRANCO MATE RETIFICADO 30X60CM (PORTOBELLO CETIM BIANCO)</t>
  </si>
  <si>
    <t xml:space="preserve">[PAREDE 2] MASSA CORRIDA+FUNDO SELADOR+TINTA LÁTEX ACRÍLICA PREMIUM BRANCO ACETINADO (CORAL DECORA SEDA BRANCO) </t>
  </si>
  <si>
    <t>REVESTIMENTO DECORATIVO - PISO</t>
  </si>
  <si>
    <t>PEDRAS</t>
  </si>
  <si>
    <t>SOLEIRA GRANITO CINZA ANDORINHA e=2,0CM</t>
  </si>
  <si>
    <t>ESQUADRIAS (PORTAS E JANELAS)</t>
  </si>
  <si>
    <t>H (m)</t>
  </si>
  <si>
    <t>Pintura = Folha x 3</t>
  </si>
  <si>
    <t>ESPELHOS</t>
  </si>
  <si>
    <t>RESERVA TÉCNICA</t>
  </si>
  <si>
    <t>Espelho E1 (50x90cm)</t>
  </si>
  <si>
    <t>LOUÇAS METAIS E ACESSÓRIOS</t>
  </si>
  <si>
    <t>H1 - DISPENSER PAPEL TOALHA TIPO BOBINA AUTOCORTE BRANCO (TRILHA EXCELÊNCIA, LINHA EXACCTA, E-DPCM007)</t>
  </si>
  <si>
    <t>H2 - TORNEIRA DE USO GERAL CROMADA, COM ACABAMENTO POLIDO (DOCOL 1130 NOVA PERTUTTI 00903706)</t>
  </si>
  <si>
    <t>H3 - TORNEIRA MESA CROMADA, COM ACABAMENTO POLIDO E FECHAMENTO AUTOMÁTICO DOCOL PRESSMATIC 17160606) + ENGATE PVC</t>
  </si>
  <si>
    <t>H5 - DISPENSER SABONETE LÍQUIDO 800ML BRANCO (PREMISSE CLEAN VELOX C19428)</t>
  </si>
  <si>
    <t>H7 - BACIA SANITÁRIA EM LOUÇA BRANCA (CELITE AZÁLEA) + CAIXA ACOPLADA DE ACIONAMENTO DUO (CELITE ECOFLUSH 3/6L) + ASSENTO PLÁSTICO SEM ABERTURA FRONTAL (CELITE CONFORT) + ENGATE PVC</t>
  </si>
  <si>
    <t>H8 - DUCHA HIGIÊNICA CROMADA (DOCOL PRIMOR 00673206)</t>
  </si>
  <si>
    <t>H9 - DISPENSER PAPEL HIGIÊNICO INOX COM TAMPA (KITBRAS STANDER 010149)</t>
  </si>
  <si>
    <t>H10 - BARRA DE APOIO RETA EM AÇO INOX ESCOVADO (DOCOL BENEFITE 00963716) - C=80CM, HORIZONTAL</t>
  </si>
  <si>
    <t>H11 - BACIA SANITÁRIA PARA PCD EM LOUÇA BRANCA (CELITE ACESSO CONFORT) + CAIXA ACOPLADA DE ACIONAMENTO DUO (CELITE ECOFLUSH 3/6L) + ASSENTO PLÁSTICO SEM ABERTURA FRONTAL (CELITE CONFORT) + ENGATE PVC</t>
  </si>
  <si>
    <t>H12 - BARRA DE APOIO RETA EM AÇO INOX ESCOVADO (DOCOL BENEFITE 00963716) - C=70CM, VERTICAL</t>
  </si>
  <si>
    <t>H13 - BARRA DE APOIO U EM AÇO INOX ESCOVADO (DOCOL BENEFITE 00974916) - C=24X25CM</t>
  </si>
  <si>
    <t>H14 - LAVATÓRIO (DECA L.510.17 Aspen) + COLUNA SUSPENSA (DECA  C.510.17 Vogue Plus) + VÁLVULA + SIFÃO PVC</t>
  </si>
  <si>
    <t>H15 - BARRA DE APOIO RETA EM AÇO INOX ESCOVADO (DOCOL BENEFITE 00963316) - C=40CM, VERTICAL</t>
  </si>
  <si>
    <t>H18 - ACABAMENTO PARA REGISTRO DE PRESSÃO E REGISTRO GAVETA (1/2" E 3/4"), TIPO VOLANTE DE TRÊS PONTAS, CROMADO (DOCOL NOVA PERTUTTI)</t>
  </si>
  <si>
    <t>H19 - GRELHA E PORTA GRELHA EM AÇO INOX PARA RALO SIFONADO 150X150</t>
  </si>
  <si>
    <t>H6 - MICTÓRIO (DECA M.715.17) + VALVULA DE DESCARGA</t>
  </si>
  <si>
    <t>PISO</t>
  </si>
  <si>
    <t>P3 (70x210)</t>
  </si>
  <si>
    <t>Desconto de 7cm do rodapé</t>
  </si>
  <si>
    <t>[PAREDE 1] PROTEÇÃO DE CANTOS COM CANTONEIRA PLÁSTICA</t>
  </si>
  <si>
    <t>áreas molhadas</t>
  </si>
  <si>
    <t>ALVENARIA DE 23CM</t>
  </si>
  <si>
    <t>VERGA PARA PORTAS (ATÉ 1,5M)</t>
  </si>
  <si>
    <t>Requadro P3</t>
  </si>
  <si>
    <t>REMOÇÃO DE PORTAS</t>
  </si>
  <si>
    <t>Coluna de lavatório</t>
  </si>
  <si>
    <t>Chuveiro</t>
  </si>
  <si>
    <t>Porta removida</t>
  </si>
  <si>
    <t>REMOÇÃO DE PINTURA</t>
  </si>
  <si>
    <t>IS PCD</t>
  </si>
  <si>
    <t>H20 - CHUVEIRO (LORENZETTI MAXI DUCHA ULTRA)</t>
  </si>
  <si>
    <t>H21 - PORTA TOALHA (DECA 2040.C.FLX)</t>
  </si>
  <si>
    <t>H22 - SABONETEIRA (STANDER KITBRAS 010148)</t>
  </si>
  <si>
    <t>RP</t>
  </si>
  <si>
    <t>RG</t>
  </si>
  <si>
    <t>P5 (80x210)</t>
  </si>
  <si>
    <t>DIVISÓRIA GRANITO CINZA ANDORINHA e=2,5CM</t>
  </si>
  <si>
    <t>FILETE BOX SANITÁRIO GRANITO CINZA ANDORINHA e=2,0CM</t>
  </si>
  <si>
    <t>IS MASC. TÉRREO</t>
  </si>
  <si>
    <t>Frontal</t>
  </si>
  <si>
    <t>P4 (60x180)</t>
  </si>
  <si>
    <t>Intermediária</t>
  </si>
  <si>
    <t>VEST. MASC. TÉRREO</t>
  </si>
  <si>
    <t>Mictório</t>
  </si>
  <si>
    <t>Lavatório</t>
  </si>
  <si>
    <t>BANCADA GRANITO CINZA ANDORINHA e=2,0CM</t>
  </si>
  <si>
    <t>IS FEM. TÉRREO</t>
  </si>
  <si>
    <t>bancada</t>
  </si>
  <si>
    <t>sem furo</t>
  </si>
  <si>
    <t>saia</t>
  </si>
  <si>
    <t>rodabancada</t>
  </si>
  <si>
    <t>J2 (127X180) BOX EM VIDRO TEMPERADO 8MM - h = 0CM</t>
  </si>
  <si>
    <t>Entrada IS Feminino</t>
  </si>
  <si>
    <t>Entrada IS Masculino + IS PCD</t>
  </si>
  <si>
    <t>Mureta</t>
  </si>
  <si>
    <t>Passagem</t>
  </si>
  <si>
    <t>Moldura do vão - Laterais</t>
  </si>
  <si>
    <t>Divisórias - Chuveiros</t>
  </si>
  <si>
    <t>Divisórias - Mictórios</t>
  </si>
  <si>
    <t>Divisórias - Bancada</t>
  </si>
  <si>
    <t>Divisórias - Box BS</t>
  </si>
  <si>
    <t>RODAPÉ - h= 7cm</t>
  </si>
  <si>
    <t>Laterais</t>
  </si>
  <si>
    <t>Topo</t>
  </si>
  <si>
    <t>Laterais e Topo</t>
  </si>
  <si>
    <t>IS Masc. T</t>
  </si>
  <si>
    <t>Vest. Masc. T</t>
  </si>
  <si>
    <t>IS PCD - nova soleira</t>
  </si>
  <si>
    <t>Complemento - boxes de chuveiro</t>
  </si>
  <si>
    <t>IS PCD / Vest. Masc.</t>
  </si>
  <si>
    <t>Fechamento ventilador na fachada</t>
  </si>
  <si>
    <t>VERGA PARA JANELAS (&gt;1,5M)</t>
  </si>
  <si>
    <t>CONTRAVERGA PARA JANELAS (&gt;1,5M)</t>
  </si>
  <si>
    <t>Requadro P5</t>
  </si>
  <si>
    <t>Requadro passagem</t>
  </si>
  <si>
    <t>Mureta - topo</t>
  </si>
  <si>
    <t>J2 (190x56)</t>
  </si>
  <si>
    <t>Requadro J3</t>
  </si>
  <si>
    <t>REMOÇÃO DE DIVISÓRIA (INCLUSIVE PORTAS)</t>
  </si>
  <si>
    <t>Frontal 1</t>
  </si>
  <si>
    <t>Frontal 2</t>
  </si>
  <si>
    <t>Intermediários</t>
  </si>
  <si>
    <t xml:space="preserve">Frontal </t>
  </si>
  <si>
    <t>Mictórios</t>
  </si>
  <si>
    <t>Registros</t>
  </si>
  <si>
    <t>Ducha higiênica</t>
  </si>
  <si>
    <t>P6 (70x210)</t>
  </si>
  <si>
    <t>P6 (70X210)</t>
  </si>
  <si>
    <t>Exaustor</t>
  </si>
  <si>
    <t>Entrada IS PCD</t>
  </si>
  <si>
    <t>Entrada IS Masc.</t>
  </si>
  <si>
    <t>Entrada IS fem. T</t>
  </si>
  <si>
    <t>Porta aberta</t>
  </si>
  <si>
    <t>H23 - CUBA REDONDA EM LOUÇA DN360MM (DECA L.41..17)</t>
  </si>
  <si>
    <t>Espelho E2 (80x90cm)</t>
  </si>
  <si>
    <t>Espelho E3 (200x90cm)</t>
  </si>
  <si>
    <t>J1 (190X60) EM ALUMÍNIO NATURAL MAXIM-AIR COM VIDRO 4MM - h = 210CM</t>
  </si>
  <si>
    <t>Reinstalação</t>
  </si>
  <si>
    <t>J1 (190x60)</t>
  </si>
  <si>
    <t>Moldura do vão - Topo</t>
  </si>
  <si>
    <t>Quinas</t>
  </si>
  <si>
    <t>alvenaria do PCD e dente próximo à janela</t>
  </si>
  <si>
    <t>Interior dos boxes de chuveiro (considerando desnível de 2cm)</t>
  </si>
  <si>
    <t>L1 (60x60)</t>
  </si>
  <si>
    <t>R1 (20x20)</t>
  </si>
  <si>
    <t>IS Masc. - nova soleira</t>
  </si>
  <si>
    <t>IS Fem. - nova soleira</t>
  </si>
  <si>
    <t>Passagem - laterais</t>
  </si>
  <si>
    <t>Fechamento do vão do exaustor na fachada</t>
  </si>
  <si>
    <t>REMOÇÃO DE BANCADA (remoção cuidadosa para reinstalação)</t>
  </si>
  <si>
    <t>[PISO 1] REVESTIMENTO CERÂMICO PORCELANATO NATURAL RETIFICADO CINZA 60X60CM (PORTOBELLO MINERAL TÉCNICA PORTLAND)</t>
  </si>
  <si>
    <t>Abertura de Porta</t>
  </si>
  <si>
    <t>Abertura de Vergas e Contravergas</t>
  </si>
  <si>
    <t>Abertura de Janela</t>
  </si>
  <si>
    <t>J2 (190X60)</t>
  </si>
  <si>
    <t>Fachada W</t>
  </si>
  <si>
    <t>Abertura da janela</t>
  </si>
  <si>
    <t>REMOÇÃO DE SOLEIRAS</t>
  </si>
  <si>
    <t>Passagem IS masc</t>
  </si>
  <si>
    <t>Nova P5 (80x210)</t>
  </si>
  <si>
    <t>J2 (verga + contraverga)</t>
  </si>
  <si>
    <t>Fechamento ventilador na fachada - pt externa</t>
  </si>
  <si>
    <t>Verga e Contraverga - J2 (190x56) - pt externa</t>
  </si>
  <si>
    <t>Mureta - laterais</t>
  </si>
  <si>
    <t>P4 (60X180) EM LAMINADO MELAMINICO ESTRUTURAL BRANCO MATE - E = 10MM</t>
  </si>
  <si>
    <t>A[m2]</t>
  </si>
  <si>
    <t>E [cm]</t>
  </si>
  <si>
    <t>Eméd. =</t>
  </si>
  <si>
    <t>P9 (60x170)</t>
  </si>
  <si>
    <t>P11 (60x180)</t>
  </si>
  <si>
    <t>-</t>
  </si>
  <si>
    <t>reaproveitamento não gera entulho (V = 0m 3)</t>
  </si>
  <si>
    <t>Porta papel higiênico de embutir</t>
  </si>
  <si>
    <t>Porta sabonete de embutir</t>
  </si>
  <si>
    <t>Feminino</t>
  </si>
  <si>
    <t>PROJETOS AS BUILT</t>
  </si>
  <si>
    <t>ARQUITETURA</t>
  </si>
  <si>
    <t>ELÉTRICO</t>
  </si>
  <si>
    <t>HIDROSSANITÁRIO</t>
  </si>
  <si>
    <t>Remoção de tubulação</t>
  </si>
  <si>
    <t>Masc.</t>
  </si>
  <si>
    <t>Fem.</t>
  </si>
  <si>
    <t>Subtotal</t>
  </si>
  <si>
    <t>Total</t>
  </si>
  <si>
    <t>OBS.:</t>
  </si>
  <si>
    <t>TUBOS</t>
  </si>
  <si>
    <t>PVC soldável</t>
  </si>
  <si>
    <t>+10%</t>
  </si>
  <si>
    <t>para considerar conexões</t>
  </si>
  <si>
    <t>25mm</t>
  </si>
  <si>
    <t>IS MASC.</t>
  </si>
  <si>
    <t>Rasgo/chumbamento</t>
  </si>
  <si>
    <t>Conexões</t>
  </si>
  <si>
    <t>Var.</t>
  </si>
  <si>
    <t>A1</t>
  </si>
  <si>
    <t>Adaptador bolsa e rosca PVC marrom</t>
  </si>
  <si>
    <t>25x3/4"</t>
  </si>
  <si>
    <t>jusante de RP e em ambos os lados de RG</t>
  </si>
  <si>
    <t>A2</t>
  </si>
  <si>
    <t>J90° c/ bucha de latão PVC azul</t>
  </si>
  <si>
    <t>25x1/2"</t>
  </si>
  <si>
    <t>A3</t>
  </si>
  <si>
    <t>J90° PVC marrom</t>
  </si>
  <si>
    <t>IS FEM.</t>
  </si>
  <si>
    <t>A5</t>
  </si>
  <si>
    <t>Tê c/ bucha de latão PVC azul</t>
  </si>
  <si>
    <t>A6</t>
  </si>
  <si>
    <t>Tê PVC marrom</t>
  </si>
  <si>
    <t>Válvulas</t>
  </si>
  <si>
    <t>R1</t>
  </si>
  <si>
    <t>base de RG</t>
  </si>
  <si>
    <t>3/4"</t>
  </si>
  <si>
    <t>Tubos</t>
  </si>
  <si>
    <t>Escavação e Reaterro de valas</t>
  </si>
  <si>
    <t>Vent.</t>
  </si>
  <si>
    <t>40mm</t>
  </si>
  <si>
    <t>PVC Branco Normal</t>
  </si>
  <si>
    <t>40 mm</t>
  </si>
  <si>
    <t>V</t>
  </si>
  <si>
    <t>H</t>
  </si>
  <si>
    <t>50 mm</t>
  </si>
  <si>
    <t>100 mm</t>
  </si>
  <si>
    <t>150 mm</t>
  </si>
  <si>
    <t>Largura da vala</t>
  </si>
  <si>
    <t>Altura/profundidade da vala</t>
  </si>
  <si>
    <t>Comprimento de vala</t>
  </si>
  <si>
    <t>Volume de escavação/reaterro</t>
  </si>
  <si>
    <t>m³</t>
  </si>
  <si>
    <t>Área de preparo de vala</t>
  </si>
  <si>
    <t>50mm</t>
  </si>
  <si>
    <t>Caixas e Ralos</t>
  </si>
  <si>
    <t>VENTILAÇÃO</t>
  </si>
  <si>
    <t>C2</t>
  </si>
  <si>
    <t>CS - 7 entradas, ralo quadrado</t>
  </si>
  <si>
    <t xml:space="preserve">150X150X50MM </t>
  </si>
  <si>
    <t>E1</t>
  </si>
  <si>
    <t>TV PVC Branco Normal</t>
  </si>
  <si>
    <t>E2</t>
  </si>
  <si>
    <t>Tê PVC Branco Normal</t>
  </si>
  <si>
    <t>50x50</t>
  </si>
  <si>
    <t>E3</t>
  </si>
  <si>
    <t>Adaptador de saída BS PVC Branco Normal</t>
  </si>
  <si>
    <t>100mm</t>
  </si>
  <si>
    <t>E4</t>
  </si>
  <si>
    <t>Anel borracha</t>
  </si>
  <si>
    <t>E5</t>
  </si>
  <si>
    <t>E6</t>
  </si>
  <si>
    <t>J45° PVC Branco Normal</t>
  </si>
  <si>
    <t>E7</t>
  </si>
  <si>
    <t>E8</t>
  </si>
  <si>
    <t>E9</t>
  </si>
  <si>
    <t>J90° PVC Branco Normal (com anel)</t>
  </si>
  <si>
    <t>E10</t>
  </si>
  <si>
    <t>J90° PVC Branco Normal</t>
  </si>
  <si>
    <t>E11</t>
  </si>
  <si>
    <t>150mm</t>
  </si>
  <si>
    <t>E12</t>
  </si>
  <si>
    <t>E14</t>
  </si>
  <si>
    <t>Junção 45° PVC Branco Normal</t>
  </si>
  <si>
    <t>100x100</t>
  </si>
  <si>
    <t>E15</t>
  </si>
  <si>
    <t>Luva Simples PVC Branco Normal</t>
  </si>
  <si>
    <t>E16</t>
  </si>
  <si>
    <t>50x40</t>
  </si>
  <si>
    <t>Tê de redução PVC Branco Normal</t>
  </si>
  <si>
    <t>100x50</t>
  </si>
  <si>
    <t>R2</t>
  </si>
  <si>
    <t>base de RP</t>
  </si>
  <si>
    <t>A7</t>
  </si>
  <si>
    <t>Luva PVC azul</t>
  </si>
  <si>
    <t>A4</t>
  </si>
  <si>
    <t>Luva PVC marrom</t>
  </si>
  <si>
    <t>PCD</t>
  </si>
  <si>
    <t>IS MASC. - VEST.</t>
  </si>
  <si>
    <t>IS MASC. - BANHEIRO</t>
  </si>
  <si>
    <t>C3</t>
  </si>
  <si>
    <t>RS - 3 entradas, ralo quadrado</t>
  </si>
  <si>
    <t>100X100x50MM</t>
  </si>
  <si>
    <t>S2</t>
  </si>
  <si>
    <t>40x40</t>
  </si>
  <si>
    <t>Abraçadeira copo de aço galvanizado</t>
  </si>
  <si>
    <t>IS masc.</t>
  </si>
  <si>
    <t>Vest Masc.</t>
  </si>
  <si>
    <t>IS Fem.</t>
  </si>
  <si>
    <t>IS fem.</t>
  </si>
  <si>
    <t>IS Masc.</t>
  </si>
  <si>
    <t>Mureta da entrada</t>
  </si>
  <si>
    <t>IS PCD (com alvenaria)</t>
  </si>
  <si>
    <t>Alvenaria de divisão dos ambientes</t>
  </si>
  <si>
    <t>P1 (80x210) - IS masc.</t>
  </si>
  <si>
    <t xml:space="preserve">P3 (70x210) - IS fem. </t>
  </si>
  <si>
    <t xml:space="preserve">P5 (80x210) - IS PCD </t>
  </si>
  <si>
    <t>IS MASC. TÉRREO (bancada existente a ser removida e reinstalada)</t>
  </si>
  <si>
    <t>Exterior dos boxes de chuveiro (desconsiderando desnível de 2cm)</t>
  </si>
  <si>
    <t>Vest. Masc.</t>
  </si>
  <si>
    <t>CONTRAPISO - ÁREA MOLHADA Eméd=3,5 CM</t>
  </si>
  <si>
    <t>Painel de Embutir</t>
  </si>
  <si>
    <t>IS Masc. - Esquerda</t>
  </si>
  <si>
    <t>IS Masc. - Direita</t>
  </si>
  <si>
    <t>Considerado que martelete removerá também eventuais pisos em granitina ou em vinílico</t>
  </si>
  <si>
    <t>Considerado que martelete removerá também argamassa de assentamento. 
Nas paredes totalmente demolidas, as quantidades não foram consideradas.</t>
  </si>
  <si>
    <t>Abertura de verga e contraverga</t>
  </si>
  <si>
    <t>Entrada IS Masc. - Pt. Externa</t>
  </si>
  <si>
    <t>QGBT</t>
  </si>
  <si>
    <t>Cabos</t>
  </si>
  <si>
    <t>Eletrodutos</t>
  </si>
  <si>
    <t>Eletroduto flexível corrugado, PVC amarelo</t>
  </si>
  <si>
    <t>Materiais e componentes</t>
  </si>
  <si>
    <t>C1</t>
  </si>
  <si>
    <t>Caixa de luz de embutir, PVC amarelo</t>
  </si>
  <si>
    <t>Luminárias</t>
  </si>
  <si>
    <t>Fixação horizontal</t>
  </si>
  <si>
    <t>EA1</t>
  </si>
  <si>
    <t>PP1</t>
  </si>
  <si>
    <t>Cabo PP 3x2,5mm² 750V preto</t>
  </si>
  <si>
    <t>3x2,5mm²</t>
  </si>
  <si>
    <t>4"x2"</t>
  </si>
  <si>
    <t>Caixa octogonal</t>
  </si>
  <si>
    <t>4"x4"</t>
  </si>
  <si>
    <t>1S</t>
  </si>
  <si>
    <t>2P+T</t>
  </si>
  <si>
    <t>62x62</t>
  </si>
  <si>
    <t>Exaustão</t>
  </si>
  <si>
    <t>EX1</t>
  </si>
  <si>
    <t>Ventokit 150 - 20W, 220V, 150m³/h</t>
  </si>
  <si>
    <t>G1</t>
  </si>
  <si>
    <t>Grelha externa</t>
  </si>
  <si>
    <t>150x150mm</t>
  </si>
  <si>
    <t>D1</t>
  </si>
  <si>
    <t>Duto flexível para exaustor</t>
  </si>
  <si>
    <t>CE1</t>
  </si>
  <si>
    <t>Box reto para eletroduto</t>
  </si>
  <si>
    <t>EL1</t>
  </si>
  <si>
    <t>PE3</t>
  </si>
  <si>
    <t>Saída simples lateral para eletroduto em perfilado</t>
  </si>
  <si>
    <t>Bucha de redução PVC Branco Normal</t>
  </si>
  <si>
    <t>E19</t>
  </si>
  <si>
    <t>E20</t>
  </si>
  <si>
    <t>Tê 90° PVC Branco Normal</t>
  </si>
  <si>
    <t>IS FEM</t>
  </si>
  <si>
    <t>IS MASC</t>
  </si>
  <si>
    <t>Outros</t>
  </si>
  <si>
    <t>A (m2)</t>
  </si>
  <si>
    <t>vedação de furos com PU</t>
  </si>
  <si>
    <t>impermeabilização para os TVs (primer + manta)</t>
  </si>
  <si>
    <t>IL1</t>
  </si>
  <si>
    <t>Painel LED embutir 40W 4000K 4000lm</t>
  </si>
  <si>
    <t>Interruptor simples, 10A 250V, 1 tecla, 4"x2"</t>
  </si>
  <si>
    <t>Ponto de força para chuveiro</t>
  </si>
  <si>
    <t>2x(2P+T)</t>
  </si>
  <si>
    <t>Plugue macho/fêmea, 10A 250V</t>
  </si>
  <si>
    <t>Cabos 2,5mm²</t>
  </si>
  <si>
    <t>Cabos 4,0mm²</t>
  </si>
  <si>
    <t>EE1</t>
  </si>
  <si>
    <t>Saída lateral para eletroduto em eletrocalha</t>
  </si>
  <si>
    <t>Eletrocalhas e Perfilados</t>
  </si>
  <si>
    <t>Eletrodutos flexíveis</t>
  </si>
  <si>
    <t>(F + N + T) IS masc. - CH</t>
  </si>
  <si>
    <t>F</t>
  </si>
  <si>
    <t>T</t>
  </si>
  <si>
    <t>(F + N + T) IS fem. - CH</t>
  </si>
  <si>
    <t>(F + N + T) Iluminação</t>
  </si>
  <si>
    <t>(F + N + T) Tomadas</t>
  </si>
  <si>
    <t>Re-p</t>
  </si>
  <si>
    <t>Re-q</t>
  </si>
  <si>
    <t>Re-n</t>
  </si>
  <si>
    <t>Re-o</t>
  </si>
  <si>
    <t>IS masc.+ IS fem.</t>
  </si>
  <si>
    <t>Não levantou abertura de vergas e contravergas</t>
  </si>
  <si>
    <t>P3 (70X210) EM MADEIRA COM PINTURA ESMALTE BRANCO NEVE FOSCO</t>
  </si>
  <si>
    <t>P5 (80X210) EM MADEIRA COM PINTURA ESMALTADA BANCO NEVE FOSCO + 2X BARRA HORIZONTAL C=40CM AÇO INOX + CHAPA DE PROTEÇÃO 40X80CM ANTI-IMPACTO AÇO INOX</t>
  </si>
  <si>
    <t>Cabideiro</t>
  </si>
  <si>
    <t>PE4</t>
  </si>
  <si>
    <t>Saída dupla lateral para eletroduto em perfilado</t>
  </si>
  <si>
    <t>15% para considerar curvas e conexões</t>
  </si>
  <si>
    <t>IS feminino</t>
  </si>
  <si>
    <t>IS masculino</t>
  </si>
  <si>
    <t>Eletroduto Aparente (EA1)</t>
  </si>
  <si>
    <t>H24 - GRELHA E PORTA GRELHA EM AÇO INOX PARA RALO SIFONADO 100X100</t>
  </si>
  <si>
    <t>IS Masculino</t>
  </si>
  <si>
    <t>Vestiário Masculino</t>
  </si>
  <si>
    <t>Tomada, 10A 250V, 2 módulos, 4"x2"</t>
  </si>
  <si>
    <t>Circ. 5</t>
  </si>
  <si>
    <t>Circ. 6</t>
  </si>
  <si>
    <t>Cir. 1</t>
  </si>
  <si>
    <t>Cir. 2</t>
  </si>
  <si>
    <t>Cir. 3</t>
  </si>
  <si>
    <t>Cir. 4</t>
  </si>
  <si>
    <t>empolamento</t>
  </si>
  <si>
    <t>km</t>
  </si>
  <si>
    <t>P1 (80X210) EM MADEIRA COM PINTURA BRANCO NEVE FOSCO</t>
  </si>
  <si>
    <t>DN25mm</t>
  </si>
  <si>
    <t>Fixação Vertical</t>
  </si>
  <si>
    <t>DN50mm</t>
  </si>
  <si>
    <t>DN40mm</t>
  </si>
  <si>
    <t>DN100mm</t>
  </si>
  <si>
    <t>DN150mm</t>
  </si>
  <si>
    <t>E23</t>
  </si>
  <si>
    <t>E24</t>
  </si>
  <si>
    <t>E25</t>
  </si>
  <si>
    <t>MARMORISTA/GRANITEIRO COM ENCARGOS COMPLEMENTARES</t>
  </si>
  <si>
    <t>SERVENTE COM ENCARGOS COMPLEMENTARES</t>
  </si>
  <si>
    <t>MASSA PLASTICA PARA MARMORE/GRANITO</t>
  </si>
  <si>
    <t>KG</t>
  </si>
  <si>
    <t>BUCHA DE NYLON SEM ABA S10, COM PARAFUSO DE 6,10 X 65 MM EM ACO ZINCADO COM ROSCA SOBERBA, CABECA CHATA E FENDA PHILLIPS</t>
  </si>
  <si>
    <t>UN</t>
  </si>
  <si>
    <t>GRANITO PARA BANCADA, POLIDO, TIPO ANDORINHA/ QUARTZ/ CASTELO/ CORUMBA OU OUTROS EQUIVALENTES DA REGIAO, E= *2,5* CM</t>
  </si>
  <si>
    <t>REJUNTE EPOXI, QUALQUER COR</t>
  </si>
  <si>
    <t>SUPORTE MAO-FRANCESA EM ACO, ABAS IGUAIS 30 CM, CAPACIDADE MINIMA 60 KG, BRANCO</t>
  </si>
  <si>
    <t>COMPOSIÇÃO</t>
  </si>
  <si>
    <t>BASE</t>
  </si>
  <si>
    <t>CÓDIGO</t>
  </si>
  <si>
    <t>UNIDADE</t>
  </si>
  <si>
    <t>ÍND.</t>
  </si>
  <si>
    <t>ÍND. CALC.</t>
  </si>
  <si>
    <t xml:space="preserve">BANCADA DE GRANITO CINZA POLIDO, DE 1,50 X 0,60 M, PARA PIA DE COZINHA - FORNECIMENTO E INSTALAÇÃO. AF_01/2020 </t>
  </si>
  <si>
    <t>SINAPI (86889)</t>
  </si>
  <si>
    <t>*</t>
  </si>
  <si>
    <t>*USAR 4 UNIDADES DE SUPORTE</t>
  </si>
  <si>
    <t xml:space="preserve">RODAPE OU RODABANCADA EM GRANITO, POLIDO, TIPO ANDORINHA/ QUARTZ/ CASTELO/ CORUMBA OU OUTROS EQUIVALENTES DA REGIAO, H= 10 CM, E= *2,0* CM </t>
  </si>
  <si>
    <t>M</t>
  </si>
  <si>
    <t>202205.132.RMSM</t>
  </si>
  <si>
    <t>BANCADA DE GRANITO CINZA POLIDO, DE 0,50 X 0,60 M, PARA LAVATÓRIO - FORNECIMENTO E INSTALAÇÃO. AF_01/2020</t>
  </si>
  <si>
    <t>SINAPI (86895)</t>
  </si>
  <si>
    <t>*USAR 2 UNIDADES DE SUPORTE</t>
  </si>
  <si>
    <t xml:space="preserve">BANCADA DE GRANITO CINZA-ANDORINHA POLIDO (E=2CM), INSTALADA COM EMBUTIMENTO DE 2CM E APOIO EM MÃO-FRANCESA, COM SAIA E RODABANCADA (E=2CM, H=10CM, ENCONTRO A 45°) [BANCADA 1 - IS FEM. GRAFICA - 80X50CM] </t>
  </si>
  <si>
    <t>BANCADA DE GRANITO CINZA-ANDORINHA POLIDO (E=2CM), INSTALADA COM EMBUTIMENTO DE 2CM E APOIO EM MÃO-FRANCESA, COM SAIA E RODABANCADA (E=2CM, H=10CM, ENCONTRO A 45°) [BANCADA 2 - IS MASC. 01 - 200X55CM - SOMENTE REINSTALAÇÃO]</t>
  </si>
  <si>
    <t>202205.133.RMSM</t>
  </si>
  <si>
    <t>**REINSTALAÇÃO DE MATERIAL EXISTENTE</t>
  </si>
  <si>
    <t>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</si>
</sst>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"/>
    <numFmt numFmtId="165" formatCode="0.0"/>
    <numFmt numFmtId="166" formatCode="0.0000"/>
    <numFmt numFmtId="167" formatCode="#,##0.0000"/>
    <numFmt numFmtId="168" formatCode="#,##0.0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4" tint="-0.499984740745262"/>
      <name val="Arial"/>
      <family val="2"/>
    </font>
    <font>
      <sz val="10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0"/>
      <color theme="4" tint="-0.499984740745262"/>
      <name val="Arial"/>
      <family val="2"/>
    </font>
    <font>
      <sz val="11"/>
      <name val="Calibri"/>
      <family val="2"/>
      <scheme val="minor"/>
    </font>
    <font>
      <sz val="10"/>
      <color rgb="FF00B050"/>
      <name val="Arial"/>
      <family val="2"/>
    </font>
    <font>
      <i/>
      <sz val="10"/>
      <color theme="4" tint="-0.499984740745262"/>
      <name val="Arial"/>
      <family val="2"/>
    </font>
    <font>
      <b/>
      <sz val="10"/>
      <color theme="1"/>
      <name val="Arial"/>
      <family val="2"/>
    </font>
    <font>
      <sz val="9"/>
      <color theme="1"/>
      <name val="Calibri Light"/>
      <family val="2"/>
      <scheme val="major"/>
    </font>
    <font>
      <sz val="10"/>
      <color theme="1"/>
      <name val="Calibri Light"/>
      <family val="2"/>
      <scheme val="major"/>
    </font>
    <font>
      <b/>
      <sz val="10"/>
      <color theme="1"/>
      <name val="Calibri Light"/>
      <family val="2"/>
      <scheme val="major"/>
    </font>
    <font>
      <b/>
      <sz val="10"/>
      <color rgb="FFFFFFFF"/>
      <name val="Calibri Light"/>
      <family val="2"/>
      <scheme val="major"/>
    </font>
    <font>
      <sz val="10"/>
      <color rgb="FF666666"/>
      <name val="Calibri Light"/>
      <family val="2"/>
      <scheme val="major"/>
    </font>
    <font>
      <sz val="10"/>
      <color rgb="FF663D14"/>
      <name val="Calibri Light"/>
      <family val="2"/>
      <scheme val="major"/>
    </font>
    <font>
      <b/>
      <sz val="10"/>
      <color rgb="FF663D14"/>
      <name val="Calibri Light"/>
      <family val="2"/>
      <scheme val="major"/>
    </font>
    <font>
      <i/>
      <sz val="10"/>
      <color theme="1"/>
      <name val="Calibri Light"/>
      <family val="2"/>
      <scheme val="major"/>
    </font>
  </fonts>
  <fills count="29">
    <fill>
      <patternFill patternType="none"/>
    </fill>
    <fill>
      <patternFill patternType="gray125"/>
    </fill>
    <fill>
      <patternFill patternType="solid">
        <fgColor theme="8" tint="0.59999389629810485"/>
        <bgColor rgb="FFFFFFFF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rgb="FFFFFFFF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rgb="FFFFFFFF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4.9989318521683403E-2"/>
        <bgColor rgb="FFFFFF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39997558519241921"/>
        <bgColor rgb="FFFFFFFF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39997558519241921"/>
        <bgColor rgb="FFFFFFFF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rgb="FFFFFFFF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333333"/>
        <bgColor indexed="64"/>
      </patternFill>
    </fill>
    <fill>
      <patternFill patternType="solid">
        <fgColor rgb="FFDFF0D8"/>
        <bgColor indexed="64"/>
      </patternFill>
    </fill>
    <fill>
      <patternFill patternType="solid">
        <fgColor rgb="FFFCF8E3"/>
        <bgColor indexed="64"/>
      </patternFill>
    </fill>
  </fills>
  <borders count="1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thin">
        <color indexed="64"/>
      </right>
      <top style="dotted">
        <color indexed="64"/>
      </top>
      <bottom style="double">
        <color indexed="64"/>
      </bottom>
      <diagonal/>
    </border>
    <border>
      <left/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rgb="FFDDDDDD"/>
      </top>
      <bottom/>
      <diagonal/>
    </border>
    <border>
      <left style="medium">
        <color indexed="64"/>
      </left>
      <right/>
      <top style="medium">
        <color rgb="FFDDDDDD"/>
      </top>
      <bottom/>
      <diagonal/>
    </border>
    <border>
      <left/>
      <right style="medium">
        <color indexed="64"/>
      </right>
      <top style="medium">
        <color rgb="FFDDDDDD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rgb="FFDDDDDD"/>
      </top>
      <bottom style="medium">
        <color indexed="64"/>
      </bottom>
      <diagonal/>
    </border>
    <border>
      <left/>
      <right/>
      <top style="medium">
        <color rgb="FFDDDDDD"/>
      </top>
      <bottom style="medium">
        <color indexed="64"/>
      </bottom>
      <diagonal/>
    </border>
    <border>
      <left/>
      <right style="medium">
        <color indexed="64"/>
      </right>
      <top style="medium">
        <color rgb="FFDDDDDD"/>
      </top>
      <bottom style="medium">
        <color indexed="64"/>
      </bottom>
      <diagonal/>
    </border>
    <border>
      <left style="dashed">
        <color indexed="64"/>
      </left>
      <right/>
      <top/>
      <bottom/>
      <diagonal/>
    </border>
    <border>
      <left/>
      <right style="dashed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ashed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rgb="FFDDDDDD"/>
      </top>
      <bottom/>
      <diagonal/>
    </border>
    <border>
      <left style="thin">
        <color indexed="64"/>
      </left>
      <right style="thin">
        <color indexed="64"/>
      </right>
      <top style="medium">
        <color rgb="FFDDDDDD"/>
      </top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707">
    <xf numFmtId="0" fontId="0" fillId="0" borderId="0" xfId="0"/>
    <xf numFmtId="0" fontId="0" fillId="4" borderId="10" xfId="0" applyFill="1" applyBorder="1" applyAlignment="1">
      <alignment horizontal="left" vertical="center" wrapText="1"/>
    </xf>
    <xf numFmtId="3" fontId="4" fillId="7" borderId="7" xfId="0" applyNumberFormat="1" applyFont="1" applyFill="1" applyBorder="1" applyAlignment="1">
      <alignment horizontal="center" vertical="center"/>
    </xf>
    <xf numFmtId="2" fontId="0" fillId="8" borderId="8" xfId="0" applyNumberFormat="1" applyFill="1" applyBorder="1" applyAlignment="1">
      <alignment horizontal="center" vertical="center"/>
    </xf>
    <xf numFmtId="0" fontId="0" fillId="8" borderId="9" xfId="0" applyFill="1" applyBorder="1" applyAlignment="1">
      <alignment horizontal="center" vertical="center"/>
    </xf>
    <xf numFmtId="0" fontId="0" fillId="8" borderId="8" xfId="0" applyFill="1" applyBorder="1" applyAlignment="1">
      <alignment horizontal="center" vertical="center"/>
    </xf>
    <xf numFmtId="0" fontId="0" fillId="0" borderId="0" xfId="0" applyAlignment="1"/>
    <xf numFmtId="0" fontId="3" fillId="2" borderId="2" xfId="0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0" fontId="3" fillId="3" borderId="6" xfId="0" applyFont="1" applyFill="1" applyBorder="1" applyAlignment="1">
      <alignment vertical="center"/>
    </xf>
    <xf numFmtId="3" fontId="4" fillId="3" borderId="7" xfId="0" applyNumberFormat="1" applyFont="1" applyFill="1" applyBorder="1" applyAlignment="1">
      <alignment horizontal="center" vertical="center"/>
    </xf>
    <xf numFmtId="2" fontId="0" fillId="4" borderId="8" xfId="0" applyNumberFormat="1" applyFill="1" applyBorder="1" applyAlignment="1">
      <alignment horizontal="center" vertical="center"/>
    </xf>
    <xf numFmtId="164" fontId="0" fillId="4" borderId="8" xfId="0" applyNumberFormat="1" applyFill="1" applyBorder="1" applyAlignment="1">
      <alignment horizontal="center" vertical="center"/>
    </xf>
    <xf numFmtId="2" fontId="0" fillId="4" borderId="9" xfId="0" applyNumberFormat="1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2" fontId="2" fillId="5" borderId="8" xfId="0" applyNumberFormat="1" applyFont="1" applyFill="1" applyBorder="1" applyAlignment="1">
      <alignment horizontal="center" vertical="center"/>
    </xf>
    <xf numFmtId="2" fontId="2" fillId="6" borderId="8" xfId="0" applyNumberFormat="1" applyFont="1" applyFill="1" applyBorder="1" applyAlignment="1">
      <alignment horizontal="center" vertical="center"/>
    </xf>
    <xf numFmtId="0" fontId="0" fillId="4" borderId="10" xfId="0" applyFill="1" applyBorder="1" applyAlignment="1">
      <alignment horizontal="left" vertical="center"/>
    </xf>
    <xf numFmtId="1" fontId="2" fillId="5" borderId="9" xfId="0" applyNumberFormat="1" applyFont="1" applyFill="1" applyBorder="1" applyAlignment="1">
      <alignment horizontal="center" vertical="center"/>
    </xf>
    <xf numFmtId="0" fontId="5" fillId="7" borderId="6" xfId="0" applyFont="1" applyFill="1" applyBorder="1" applyAlignment="1">
      <alignment horizontal="right" vertical="center"/>
    </xf>
    <xf numFmtId="0" fontId="0" fillId="8" borderId="10" xfId="0" applyFill="1" applyBorder="1" applyAlignment="1">
      <alignment horizontal="left" vertical="center"/>
    </xf>
    <xf numFmtId="2" fontId="0" fillId="8" borderId="9" xfId="0" applyNumberFormat="1" applyFill="1" applyBorder="1" applyAlignment="1">
      <alignment horizontal="center" vertical="center"/>
    </xf>
    <xf numFmtId="1" fontId="0" fillId="8" borderId="9" xfId="0" applyNumberFormat="1" applyFill="1" applyBorder="1" applyAlignment="1">
      <alignment horizontal="center" vertical="center"/>
    </xf>
    <xf numFmtId="164" fontId="0" fillId="8" borderId="8" xfId="0" applyNumberFormat="1" applyFill="1" applyBorder="1" applyAlignment="1">
      <alignment horizontal="center" vertical="center"/>
    </xf>
    <xf numFmtId="2" fontId="0" fillId="10" borderId="8" xfId="0" applyNumberFormat="1" applyFont="1" applyFill="1" applyBorder="1" applyAlignment="1">
      <alignment horizontal="center" vertical="center"/>
    </xf>
    <xf numFmtId="1" fontId="0" fillId="10" borderId="9" xfId="0" applyNumberFormat="1" applyFont="1" applyFill="1" applyBorder="1" applyAlignment="1">
      <alignment horizontal="center" vertical="center"/>
    </xf>
    <xf numFmtId="2" fontId="7" fillId="10" borderId="8" xfId="0" applyNumberFormat="1" applyFont="1" applyFill="1" applyBorder="1" applyAlignment="1">
      <alignment horizontal="center" vertical="center"/>
    </xf>
    <xf numFmtId="0" fontId="6" fillId="9" borderId="6" xfId="0" applyFont="1" applyFill="1" applyBorder="1" applyAlignment="1">
      <alignment horizontal="right" vertical="center"/>
    </xf>
    <xf numFmtId="3" fontId="4" fillId="9" borderId="7" xfId="0" applyNumberFormat="1" applyFont="1" applyFill="1" applyBorder="1" applyAlignment="1">
      <alignment horizontal="center" vertical="center"/>
    </xf>
    <xf numFmtId="0" fontId="0" fillId="10" borderId="10" xfId="0" applyFont="1" applyFill="1" applyBorder="1" applyAlignment="1">
      <alignment horizontal="left" vertical="center"/>
    </xf>
    <xf numFmtId="3" fontId="4" fillId="3" borderId="12" xfId="0" applyNumberFormat="1" applyFont="1" applyFill="1" applyBorder="1" applyAlignment="1">
      <alignment horizontal="center" vertical="center"/>
    </xf>
    <xf numFmtId="2" fontId="9" fillId="4" borderId="13" xfId="0" applyNumberFormat="1" applyFont="1" applyFill="1" applyBorder="1" applyAlignment="1">
      <alignment horizontal="center" vertical="center"/>
    </xf>
    <xf numFmtId="2" fontId="9" fillId="4" borderId="14" xfId="0" applyNumberFormat="1" applyFont="1" applyFill="1" applyBorder="1" applyAlignment="1">
      <alignment horizontal="center" vertical="center"/>
    </xf>
    <xf numFmtId="0" fontId="9" fillId="4" borderId="13" xfId="0" applyFont="1" applyFill="1" applyBorder="1" applyAlignment="1">
      <alignment horizontal="center" vertical="center"/>
    </xf>
    <xf numFmtId="2" fontId="2" fillId="6" borderId="13" xfId="0" applyNumberFormat="1" applyFont="1" applyFill="1" applyBorder="1" applyAlignment="1">
      <alignment horizontal="center" vertical="center"/>
    </xf>
    <xf numFmtId="0" fontId="9" fillId="4" borderId="15" xfId="0" applyFont="1" applyFill="1" applyBorder="1" applyAlignment="1">
      <alignment horizontal="left" vertical="center"/>
    </xf>
    <xf numFmtId="0" fontId="3" fillId="3" borderId="16" xfId="0" applyFont="1" applyFill="1" applyBorder="1" applyAlignment="1">
      <alignment vertical="center"/>
    </xf>
    <xf numFmtId="3" fontId="4" fillId="3" borderId="17" xfId="0" applyNumberFormat="1" applyFont="1" applyFill="1" applyBorder="1" applyAlignment="1">
      <alignment horizontal="center" vertical="center"/>
    </xf>
    <xf numFmtId="2" fontId="9" fillId="4" borderId="18" xfId="0" applyNumberFormat="1" applyFont="1" applyFill="1" applyBorder="1" applyAlignment="1">
      <alignment horizontal="center" vertical="center"/>
    </xf>
    <xf numFmtId="2" fontId="9" fillId="4" borderId="19" xfId="0" applyNumberFormat="1" applyFont="1" applyFill="1" applyBorder="1" applyAlignment="1">
      <alignment horizontal="center" vertical="center"/>
    </xf>
    <xf numFmtId="0" fontId="9" fillId="4" borderId="18" xfId="0" applyFont="1" applyFill="1" applyBorder="1" applyAlignment="1">
      <alignment horizontal="center" vertical="center"/>
    </xf>
    <xf numFmtId="165" fontId="2" fillId="6" borderId="18" xfId="0" applyNumberFormat="1" applyFont="1" applyFill="1" applyBorder="1" applyAlignment="1">
      <alignment horizontal="center" vertical="center"/>
    </xf>
    <xf numFmtId="0" fontId="9" fillId="4" borderId="20" xfId="0" applyFont="1" applyFill="1" applyBorder="1" applyAlignment="1">
      <alignment horizontal="left" vertical="center"/>
    </xf>
    <xf numFmtId="1" fontId="0" fillId="4" borderId="9" xfId="0" applyNumberFormat="1" applyFill="1" applyBorder="1" applyAlignment="1">
      <alignment horizontal="center" vertical="center"/>
    </xf>
    <xf numFmtId="0" fontId="8" fillId="7" borderId="6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vertical="center" wrapText="1"/>
    </xf>
    <xf numFmtId="3" fontId="4" fillId="3" borderId="9" xfId="0" applyNumberFormat="1" applyFont="1" applyFill="1" applyBorder="1" applyAlignment="1">
      <alignment horizontal="center" vertical="center" wrapText="1"/>
    </xf>
    <xf numFmtId="2" fontId="0" fillId="4" borderId="8" xfId="0" applyNumberFormat="1" applyFill="1" applyBorder="1" applyAlignment="1">
      <alignment horizontal="center" vertical="center" wrapText="1"/>
    </xf>
    <xf numFmtId="2" fontId="0" fillId="4" borderId="9" xfId="0" applyNumberFormat="1" applyFill="1" applyBorder="1" applyAlignment="1">
      <alignment horizontal="center" vertical="center" wrapText="1"/>
    </xf>
    <xf numFmtId="2" fontId="2" fillId="5" borderId="8" xfId="0" applyNumberFormat="1" applyFont="1" applyFill="1" applyBorder="1" applyAlignment="1">
      <alignment horizontal="center" vertical="center" wrapText="1"/>
    </xf>
    <xf numFmtId="0" fontId="5" fillId="7" borderId="10" xfId="0" applyFont="1" applyFill="1" applyBorder="1" applyAlignment="1">
      <alignment horizontal="right" vertical="center" wrapText="1"/>
    </xf>
    <xf numFmtId="3" fontId="4" fillId="7" borderId="9" xfId="0" applyNumberFormat="1" applyFont="1" applyFill="1" applyBorder="1" applyAlignment="1">
      <alignment horizontal="center" vertical="center" wrapText="1"/>
    </xf>
    <xf numFmtId="2" fontId="0" fillId="8" borderId="8" xfId="0" applyNumberFormat="1" applyFill="1" applyBorder="1" applyAlignment="1">
      <alignment horizontal="center" vertical="center" wrapText="1"/>
    </xf>
    <xf numFmtId="2" fontId="0" fillId="8" borderId="9" xfId="0" applyNumberFormat="1" applyFill="1" applyBorder="1" applyAlignment="1">
      <alignment horizontal="center" vertical="center" wrapText="1"/>
    </xf>
    <xf numFmtId="0" fontId="0" fillId="8" borderId="10" xfId="0" applyFill="1" applyBorder="1" applyAlignment="1">
      <alignment horizontal="left" vertical="center" wrapText="1"/>
    </xf>
    <xf numFmtId="2" fontId="0" fillId="10" borderId="8" xfId="0" applyNumberFormat="1" applyFont="1" applyFill="1" applyBorder="1" applyAlignment="1">
      <alignment horizontal="center" vertical="center" wrapText="1"/>
    </xf>
    <xf numFmtId="0" fontId="0" fillId="10" borderId="8" xfId="0" applyFont="1" applyFill="1" applyBorder="1" applyAlignment="1">
      <alignment horizontal="center" vertical="center" wrapText="1"/>
    </xf>
    <xf numFmtId="2" fontId="7" fillId="10" borderId="8" xfId="0" applyNumberFormat="1" applyFont="1" applyFill="1" applyBorder="1" applyAlignment="1">
      <alignment horizontal="center" vertical="center" wrapText="1"/>
    </xf>
    <xf numFmtId="0" fontId="0" fillId="10" borderId="10" xfId="0" applyFont="1" applyFill="1" applyBorder="1" applyAlignment="1">
      <alignment horizontal="left" vertical="center" wrapText="1"/>
    </xf>
    <xf numFmtId="164" fontId="0" fillId="4" borderId="8" xfId="0" applyNumberFormat="1" applyFill="1" applyBorder="1" applyAlignment="1">
      <alignment horizontal="center" vertical="center" wrapText="1"/>
    </xf>
    <xf numFmtId="164" fontId="0" fillId="8" borderId="8" xfId="0" applyNumberFormat="1" applyFill="1" applyBorder="1" applyAlignment="1">
      <alignment horizontal="center" vertical="center" wrapText="1"/>
    </xf>
    <xf numFmtId="3" fontId="4" fillId="7" borderId="14" xfId="0" applyNumberFormat="1" applyFont="1" applyFill="1" applyBorder="1" applyAlignment="1">
      <alignment horizontal="center" vertical="center" wrapText="1"/>
    </xf>
    <xf numFmtId="2" fontId="0" fillId="8" borderId="13" xfId="0" applyNumberFormat="1" applyFill="1" applyBorder="1" applyAlignment="1">
      <alignment horizontal="center" vertical="center" wrapText="1"/>
    </xf>
    <xf numFmtId="1" fontId="0" fillId="8" borderId="14" xfId="0" applyNumberFormat="1" applyFill="1" applyBorder="1" applyAlignment="1">
      <alignment horizontal="center" vertical="center" wrapText="1"/>
    </xf>
    <xf numFmtId="0" fontId="0" fillId="8" borderId="15" xfId="0" applyFill="1" applyBorder="1" applyAlignment="1">
      <alignment horizontal="left" vertical="center" wrapText="1"/>
    </xf>
    <xf numFmtId="0" fontId="6" fillId="9" borderId="10" xfId="0" applyFont="1" applyFill="1" applyBorder="1" applyAlignment="1">
      <alignment horizontal="right" vertical="center" wrapText="1"/>
    </xf>
    <xf numFmtId="3" fontId="4" fillId="9" borderId="9" xfId="0" applyNumberFormat="1" applyFont="1" applyFill="1" applyBorder="1" applyAlignment="1">
      <alignment horizontal="center" vertical="center" wrapText="1"/>
    </xf>
    <xf numFmtId="1" fontId="0" fillId="10" borderId="9" xfId="0" applyNumberFormat="1" applyFont="1" applyFill="1" applyBorder="1" applyAlignment="1">
      <alignment horizontal="center" vertical="center" wrapText="1"/>
    </xf>
    <xf numFmtId="1" fontId="0" fillId="8" borderId="9" xfId="0" applyNumberForma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8" borderId="8" xfId="0" applyFill="1" applyBorder="1" applyAlignment="1">
      <alignment horizontal="center" vertical="center" wrapText="1"/>
    </xf>
    <xf numFmtId="0" fontId="5" fillId="7" borderId="20" xfId="0" applyFont="1" applyFill="1" applyBorder="1" applyAlignment="1">
      <alignment horizontal="right" vertical="center" wrapText="1"/>
    </xf>
    <xf numFmtId="3" fontId="4" fillId="7" borderId="19" xfId="0" applyNumberFormat="1" applyFont="1" applyFill="1" applyBorder="1" applyAlignment="1">
      <alignment horizontal="center" vertical="center" wrapText="1"/>
    </xf>
    <xf numFmtId="2" fontId="0" fillId="8" borderId="18" xfId="0" applyNumberFormat="1" applyFill="1" applyBorder="1" applyAlignment="1">
      <alignment horizontal="center" vertical="center" wrapText="1"/>
    </xf>
    <xf numFmtId="0" fontId="0" fillId="8" borderId="18" xfId="0" applyFill="1" applyBorder="1" applyAlignment="1">
      <alignment horizontal="center" vertical="center" wrapText="1"/>
    </xf>
    <xf numFmtId="1" fontId="0" fillId="8" borderId="19" xfId="0" applyNumberFormat="1" applyFill="1" applyBorder="1" applyAlignment="1">
      <alignment horizontal="center" vertical="center" wrapText="1"/>
    </xf>
    <xf numFmtId="164" fontId="0" fillId="8" borderId="18" xfId="0" applyNumberFormat="1" applyFill="1" applyBorder="1" applyAlignment="1">
      <alignment horizontal="center" vertical="center" wrapText="1"/>
    </xf>
    <xf numFmtId="0" fontId="0" fillId="8" borderId="20" xfId="0" applyFill="1" applyBorder="1" applyAlignment="1">
      <alignment horizontal="left" vertical="center" wrapText="1"/>
    </xf>
    <xf numFmtId="0" fontId="3" fillId="3" borderId="21" xfId="0" applyFont="1" applyFill="1" applyBorder="1" applyAlignment="1">
      <alignment vertical="center" wrapText="1"/>
    </xf>
    <xf numFmtId="3" fontId="4" fillId="3" borderId="22" xfId="0" applyNumberFormat="1" applyFont="1" applyFill="1" applyBorder="1" applyAlignment="1">
      <alignment horizontal="center" vertical="center" wrapText="1"/>
    </xf>
    <xf numFmtId="2" fontId="0" fillId="4" borderId="23" xfId="0" applyNumberFormat="1" applyFill="1" applyBorder="1" applyAlignment="1">
      <alignment horizontal="center" vertical="center" wrapText="1"/>
    </xf>
    <xf numFmtId="2" fontId="0" fillId="4" borderId="24" xfId="0" applyNumberFormat="1" applyFill="1" applyBorder="1" applyAlignment="1">
      <alignment horizontal="center" vertical="center" wrapText="1"/>
    </xf>
    <xf numFmtId="2" fontId="2" fillId="5" borderId="23" xfId="0" applyNumberFormat="1" applyFont="1" applyFill="1" applyBorder="1" applyAlignment="1">
      <alignment horizontal="center" vertical="center" wrapText="1"/>
    </xf>
    <xf numFmtId="164" fontId="0" fillId="4" borderId="23" xfId="0" applyNumberFormat="1" applyFill="1" applyBorder="1" applyAlignment="1">
      <alignment horizontal="center" vertical="center" wrapText="1"/>
    </xf>
    <xf numFmtId="0" fontId="0" fillId="4" borderId="25" xfId="0" applyFill="1" applyBorder="1" applyAlignment="1">
      <alignment horizontal="left" vertical="center" wrapText="1"/>
    </xf>
    <xf numFmtId="0" fontId="8" fillId="7" borderId="10" xfId="0" applyFont="1" applyFill="1" applyBorder="1" applyAlignment="1">
      <alignment horizontal="right" vertical="center" wrapText="1"/>
    </xf>
    <xf numFmtId="0" fontId="10" fillId="7" borderId="10" xfId="0" applyFont="1" applyFill="1" applyBorder="1" applyAlignment="1">
      <alignment horizontal="right" vertical="center" wrapText="1"/>
    </xf>
    <xf numFmtId="2" fontId="0" fillId="8" borderId="8" xfId="0" applyNumberFormat="1" applyFont="1" applyFill="1" applyBorder="1" applyAlignment="1">
      <alignment horizontal="center" vertical="center" wrapText="1"/>
    </xf>
    <xf numFmtId="1" fontId="0" fillId="8" borderId="9" xfId="0" applyNumberFormat="1" applyFont="1" applyFill="1" applyBorder="1" applyAlignment="1">
      <alignment horizontal="center" vertical="center" wrapText="1"/>
    </xf>
    <xf numFmtId="0" fontId="0" fillId="8" borderId="10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vertical="center" wrapText="1"/>
    </xf>
    <xf numFmtId="3" fontId="4" fillId="3" borderId="7" xfId="0" applyNumberFormat="1" applyFont="1" applyFill="1" applyBorder="1" applyAlignment="1">
      <alignment horizontal="center" vertical="center" wrapText="1"/>
    </xf>
    <xf numFmtId="2" fontId="0" fillId="8" borderId="13" xfId="0" applyNumberFormat="1" applyFont="1" applyFill="1" applyBorder="1" applyAlignment="1">
      <alignment horizontal="center" vertical="center" wrapText="1"/>
    </xf>
    <xf numFmtId="164" fontId="0" fillId="8" borderId="8" xfId="0" applyNumberFormat="1" applyFont="1" applyFill="1" applyBorder="1" applyAlignment="1">
      <alignment horizontal="center" vertical="center" wrapText="1"/>
    </xf>
    <xf numFmtId="2" fontId="2" fillId="5" borderId="13" xfId="0" applyNumberFormat="1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left" vertical="center" wrapText="1"/>
    </xf>
    <xf numFmtId="3" fontId="4" fillId="7" borderId="26" xfId="0" applyNumberFormat="1" applyFont="1" applyFill="1" applyBorder="1" applyAlignment="1">
      <alignment horizontal="center" vertical="center" wrapText="1"/>
    </xf>
    <xf numFmtId="2" fontId="0" fillId="8" borderId="27" xfId="0" applyNumberForma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right" vertical="center" wrapText="1"/>
    </xf>
    <xf numFmtId="0" fontId="3" fillId="3" borderId="25" xfId="0" applyFont="1" applyFill="1" applyBorder="1" applyAlignment="1">
      <alignment vertical="center" wrapText="1"/>
    </xf>
    <xf numFmtId="4" fontId="4" fillId="3" borderId="22" xfId="0" applyNumberFormat="1" applyFont="1" applyFill="1" applyBorder="1" applyAlignment="1">
      <alignment horizontal="center" vertical="center" wrapText="1"/>
    </xf>
    <xf numFmtId="4" fontId="4" fillId="3" borderId="7" xfId="0" applyNumberFormat="1" applyFont="1" applyFill="1" applyBorder="1" applyAlignment="1">
      <alignment horizontal="center" vertical="center" wrapText="1"/>
    </xf>
    <xf numFmtId="3" fontId="4" fillId="7" borderId="7" xfId="0" applyNumberFormat="1" applyFont="1" applyFill="1" applyBorder="1" applyAlignment="1">
      <alignment horizontal="center" vertical="center" wrapText="1"/>
    </xf>
    <xf numFmtId="0" fontId="5" fillId="7" borderId="16" xfId="0" applyFont="1" applyFill="1" applyBorder="1" applyAlignment="1">
      <alignment horizontal="right" vertical="center" wrapText="1"/>
    </xf>
    <xf numFmtId="3" fontId="4" fillId="7" borderId="17" xfId="0" applyNumberFormat="1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left" vertical="center" wrapText="1"/>
    </xf>
    <xf numFmtId="2" fontId="0" fillId="4" borderId="28" xfId="0" applyNumberFormat="1" applyFill="1" applyBorder="1" applyAlignment="1">
      <alignment horizontal="center" vertical="center" wrapText="1"/>
    </xf>
    <xf numFmtId="2" fontId="0" fillId="4" borderId="29" xfId="0" applyNumberFormat="1" applyFont="1" applyFill="1" applyBorder="1" applyAlignment="1">
      <alignment horizontal="center" vertical="center" wrapText="1"/>
    </xf>
    <xf numFmtId="2" fontId="0" fillId="4" borderId="15" xfId="0" applyNumberFormat="1" applyFill="1" applyBorder="1" applyAlignment="1">
      <alignment horizontal="left" vertical="center" wrapText="1"/>
    </xf>
    <xf numFmtId="1" fontId="0" fillId="4" borderId="8" xfId="0" applyNumberFormat="1" applyFill="1" applyBorder="1" applyAlignment="1">
      <alignment horizontal="center" vertical="center"/>
    </xf>
    <xf numFmtId="1" fontId="2" fillId="5" borderId="14" xfId="0" applyNumberFormat="1" applyFont="1" applyFill="1" applyBorder="1" applyAlignment="1">
      <alignment horizontal="center" vertical="center" wrapText="1"/>
    </xf>
    <xf numFmtId="9" fontId="5" fillId="7" borderId="6" xfId="0" applyNumberFormat="1" applyFont="1" applyFill="1" applyBorder="1" applyAlignment="1">
      <alignment horizontal="right" vertical="center" wrapText="1"/>
    </xf>
    <xf numFmtId="4" fontId="4" fillId="7" borderId="7" xfId="0" applyNumberFormat="1" applyFont="1" applyFill="1" applyBorder="1" applyAlignment="1">
      <alignment horizontal="center" vertical="center" wrapText="1"/>
    </xf>
    <xf numFmtId="9" fontId="5" fillId="7" borderId="30" xfId="0" applyNumberFormat="1" applyFont="1" applyFill="1" applyBorder="1" applyAlignment="1">
      <alignment horizontal="right" vertical="center" wrapText="1"/>
    </xf>
    <xf numFmtId="4" fontId="4" fillId="7" borderId="31" xfId="0" applyNumberFormat="1" applyFont="1" applyFill="1" applyBorder="1" applyAlignment="1">
      <alignment horizontal="center" vertical="center" wrapText="1"/>
    </xf>
    <xf numFmtId="2" fontId="0" fillId="8" borderId="26" xfId="0" applyNumberFormat="1" applyFill="1" applyBorder="1" applyAlignment="1">
      <alignment horizontal="center" vertical="center" wrapText="1"/>
    </xf>
    <xf numFmtId="164" fontId="0" fillId="8" borderId="27" xfId="0" applyNumberFormat="1" applyFill="1" applyBorder="1" applyAlignment="1">
      <alignment horizontal="center" vertical="center" wrapText="1"/>
    </xf>
    <xf numFmtId="0" fontId="0" fillId="8" borderId="32" xfId="0" applyFill="1" applyBorder="1" applyAlignment="1">
      <alignment horizontal="left" vertical="center" wrapText="1"/>
    </xf>
    <xf numFmtId="1" fontId="0" fillId="8" borderId="8" xfId="0" applyNumberFormat="1" applyFill="1" applyBorder="1" applyAlignment="1">
      <alignment horizontal="center" vertical="center"/>
    </xf>
    <xf numFmtId="0" fontId="5" fillId="7" borderId="11" xfId="0" applyFont="1" applyFill="1" applyBorder="1" applyAlignment="1">
      <alignment horizontal="right" vertical="center" wrapText="1"/>
    </xf>
    <xf numFmtId="3" fontId="4" fillId="7" borderId="12" xfId="0" applyNumberFormat="1" applyFont="1" applyFill="1" applyBorder="1" applyAlignment="1">
      <alignment horizontal="center" vertical="center" wrapText="1"/>
    </xf>
    <xf numFmtId="0" fontId="0" fillId="8" borderId="13" xfId="0" applyFill="1" applyBorder="1" applyAlignment="1">
      <alignment horizontal="center" vertical="center" wrapText="1"/>
    </xf>
    <xf numFmtId="1" fontId="0" fillId="8" borderId="26" xfId="0" applyNumberFormat="1" applyFill="1" applyBorder="1" applyAlignment="1">
      <alignment horizontal="center" vertical="center" wrapText="1"/>
    </xf>
    <xf numFmtId="2" fontId="0" fillId="4" borderId="28" xfId="0" applyNumberFormat="1" applyFont="1" applyFill="1" applyBorder="1" applyAlignment="1">
      <alignment horizontal="center" vertical="center" wrapText="1"/>
    </xf>
    <xf numFmtId="0" fontId="11" fillId="7" borderId="10" xfId="0" applyFont="1" applyFill="1" applyBorder="1" applyAlignment="1">
      <alignment horizontal="right" vertical="center" wrapText="1"/>
    </xf>
    <xf numFmtId="1" fontId="0" fillId="4" borderId="9" xfId="0" applyNumberFormat="1" applyFill="1" applyBorder="1" applyAlignment="1">
      <alignment horizontal="center" vertical="center" wrapText="1"/>
    </xf>
    <xf numFmtId="0" fontId="12" fillId="3" borderId="11" xfId="0" applyFont="1" applyFill="1" applyBorder="1" applyAlignment="1">
      <alignment vertical="center"/>
    </xf>
    <xf numFmtId="2" fontId="0" fillId="4" borderId="13" xfId="0" applyNumberFormat="1" applyFill="1" applyBorder="1" applyAlignment="1">
      <alignment horizontal="center" vertical="center"/>
    </xf>
    <xf numFmtId="0" fontId="7" fillId="10" borderId="8" xfId="0" applyFont="1" applyFill="1" applyBorder="1" applyAlignment="1">
      <alignment horizontal="center" vertical="center"/>
    </xf>
    <xf numFmtId="1" fontId="2" fillId="5" borderId="9" xfId="0" applyNumberFormat="1" applyFont="1" applyFill="1" applyBorder="1" applyAlignment="1">
      <alignment horizontal="center" vertical="center" wrapText="1"/>
    </xf>
    <xf numFmtId="1" fontId="9" fillId="8" borderId="14" xfId="0" applyNumberFormat="1" applyFont="1" applyFill="1" applyBorder="1" applyAlignment="1">
      <alignment horizontal="center" vertical="center" wrapText="1"/>
    </xf>
    <xf numFmtId="1" fontId="9" fillId="8" borderId="9" xfId="0" applyNumberFormat="1" applyFont="1" applyFill="1" applyBorder="1" applyAlignment="1">
      <alignment horizontal="center" vertical="center" wrapText="1"/>
    </xf>
    <xf numFmtId="2" fontId="0" fillId="4" borderId="29" xfId="0" applyNumberFormat="1" applyFill="1" applyBorder="1" applyAlignment="1">
      <alignment horizontal="center" vertical="center" wrapText="1"/>
    </xf>
    <xf numFmtId="2" fontId="0" fillId="4" borderId="33" xfId="0" applyNumberFormat="1" applyFont="1" applyFill="1" applyBorder="1" applyAlignment="1">
      <alignment horizontal="center" vertical="center" wrapText="1"/>
    </xf>
    <xf numFmtId="2" fontId="0" fillId="4" borderId="10" xfId="0" applyNumberFormat="1" applyFill="1" applyBorder="1" applyAlignment="1">
      <alignment horizontal="left" vertical="center" wrapText="1"/>
    </xf>
    <xf numFmtId="1" fontId="2" fillId="5" borderId="24" xfId="0" applyNumberFormat="1" applyFont="1" applyFill="1" applyBorder="1" applyAlignment="1">
      <alignment horizontal="center" vertical="center" wrapText="1"/>
    </xf>
    <xf numFmtId="0" fontId="5" fillId="7" borderId="15" xfId="0" applyFont="1" applyFill="1" applyBorder="1" applyAlignment="1">
      <alignment horizontal="right" vertical="center" wrapText="1"/>
    </xf>
    <xf numFmtId="164" fontId="0" fillId="8" borderId="13" xfId="0" applyNumberFormat="1" applyFill="1" applyBorder="1" applyAlignment="1">
      <alignment horizontal="center" vertical="center" wrapText="1"/>
    </xf>
    <xf numFmtId="0" fontId="5" fillId="7" borderId="34" xfId="0" applyFont="1" applyFill="1" applyBorder="1" applyAlignment="1">
      <alignment horizontal="right" vertical="center" wrapText="1"/>
    </xf>
    <xf numFmtId="3" fontId="4" fillId="7" borderId="35" xfId="0" applyNumberFormat="1" applyFont="1" applyFill="1" applyBorder="1" applyAlignment="1">
      <alignment horizontal="center" vertical="center" wrapText="1"/>
    </xf>
    <xf numFmtId="2" fontId="0" fillId="8" borderId="36" xfId="0" applyNumberFormat="1" applyFill="1" applyBorder="1" applyAlignment="1">
      <alignment horizontal="center" vertical="center" wrapText="1"/>
    </xf>
    <xf numFmtId="164" fontId="0" fillId="8" borderId="36" xfId="0" applyNumberFormat="1" applyFill="1" applyBorder="1" applyAlignment="1">
      <alignment horizontal="center" vertical="center" wrapText="1"/>
    </xf>
    <xf numFmtId="1" fontId="0" fillId="8" borderId="35" xfId="0" applyNumberFormat="1" applyFill="1" applyBorder="1" applyAlignment="1">
      <alignment horizontal="center" vertical="center" wrapText="1"/>
    </xf>
    <xf numFmtId="0" fontId="0" fillId="8" borderId="34" xfId="0" applyFill="1" applyBorder="1" applyAlignment="1">
      <alignment horizontal="left" vertical="center" wrapText="1"/>
    </xf>
    <xf numFmtId="0" fontId="3" fillId="3" borderId="11" xfId="0" applyFont="1" applyFill="1" applyBorder="1" applyAlignment="1">
      <alignment vertical="center" wrapText="1"/>
    </xf>
    <xf numFmtId="4" fontId="4" fillId="3" borderId="12" xfId="0" applyNumberFormat="1" applyFont="1" applyFill="1" applyBorder="1" applyAlignment="1">
      <alignment horizontal="center" vertical="center" wrapText="1"/>
    </xf>
    <xf numFmtId="2" fontId="0" fillId="4" borderId="13" xfId="0" applyNumberFormat="1" applyFill="1" applyBorder="1" applyAlignment="1">
      <alignment horizontal="center" vertical="center" wrapText="1"/>
    </xf>
    <xf numFmtId="0" fontId="5" fillId="7" borderId="32" xfId="0" applyFont="1" applyFill="1" applyBorder="1" applyAlignment="1">
      <alignment horizontal="right" vertical="center" wrapText="1"/>
    </xf>
    <xf numFmtId="164" fontId="0" fillId="10" borderId="8" xfId="0" applyNumberFormat="1" applyFont="1" applyFill="1" applyBorder="1" applyAlignment="1">
      <alignment horizontal="center" vertical="center" wrapText="1"/>
    </xf>
    <xf numFmtId="0" fontId="11" fillId="7" borderId="6" xfId="0" applyFont="1" applyFill="1" applyBorder="1" applyAlignment="1">
      <alignment horizontal="right" vertical="center"/>
    </xf>
    <xf numFmtId="0" fontId="8" fillId="7" borderId="6" xfId="0" applyFont="1" applyFill="1" applyBorder="1" applyAlignment="1">
      <alignment horizontal="right" vertical="center"/>
    </xf>
    <xf numFmtId="2" fontId="0" fillId="8" borderId="28" xfId="0" applyNumberFormat="1" applyFill="1" applyBorder="1" applyAlignment="1">
      <alignment horizontal="center" vertical="center" wrapText="1"/>
    </xf>
    <xf numFmtId="2" fontId="9" fillId="8" borderId="8" xfId="0" applyNumberFormat="1" applyFont="1" applyFill="1" applyBorder="1" applyAlignment="1">
      <alignment horizontal="center" vertical="center" wrapText="1"/>
    </xf>
    <xf numFmtId="2" fontId="2" fillId="8" borderId="8" xfId="0" applyNumberFormat="1" applyFont="1" applyFill="1" applyBorder="1" applyAlignment="1">
      <alignment horizontal="center" vertical="center"/>
    </xf>
    <xf numFmtId="3" fontId="3" fillId="7" borderId="7" xfId="0" applyNumberFormat="1" applyFont="1" applyFill="1" applyBorder="1" applyAlignment="1">
      <alignment horizontal="center" vertical="center"/>
    </xf>
    <xf numFmtId="164" fontId="2" fillId="8" borderId="8" xfId="0" applyNumberFormat="1" applyFont="1" applyFill="1" applyBorder="1" applyAlignment="1">
      <alignment horizontal="center" vertical="center"/>
    </xf>
    <xf numFmtId="2" fontId="2" fillId="8" borderId="9" xfId="0" applyNumberFormat="1" applyFont="1" applyFill="1" applyBorder="1" applyAlignment="1">
      <alignment horizontal="center" vertical="center"/>
    </xf>
    <xf numFmtId="0" fontId="2" fillId="8" borderId="8" xfId="0" applyFont="1" applyFill="1" applyBorder="1" applyAlignment="1">
      <alignment horizontal="center" vertical="center"/>
    </xf>
    <xf numFmtId="0" fontId="2" fillId="8" borderId="10" xfId="0" applyFont="1" applyFill="1" applyBorder="1" applyAlignment="1">
      <alignment horizontal="left" vertical="center"/>
    </xf>
    <xf numFmtId="0" fontId="2" fillId="0" borderId="0" xfId="0" applyFont="1"/>
    <xf numFmtId="2" fontId="0" fillId="8" borderId="8" xfId="0" applyNumberFormat="1" applyFont="1" applyFill="1" applyBorder="1" applyAlignment="1">
      <alignment horizontal="center" vertical="center"/>
    </xf>
    <xf numFmtId="2" fontId="0" fillId="8" borderId="9" xfId="0" applyNumberFormat="1" applyFont="1" applyFill="1" applyBorder="1" applyAlignment="1">
      <alignment horizontal="center" vertical="center"/>
    </xf>
    <xf numFmtId="0" fontId="0" fillId="8" borderId="8" xfId="0" applyFont="1" applyFill="1" applyBorder="1" applyAlignment="1">
      <alignment horizontal="center" vertical="center"/>
    </xf>
    <xf numFmtId="0" fontId="0" fillId="8" borderId="10" xfId="0" applyFont="1" applyFill="1" applyBorder="1" applyAlignment="1">
      <alignment horizontal="left" vertical="center"/>
    </xf>
    <xf numFmtId="0" fontId="0" fillId="0" borderId="0" xfId="0" applyFont="1"/>
    <xf numFmtId="164" fontId="0" fillId="8" borderId="8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3" fontId="4" fillId="11" borderId="9" xfId="0" applyNumberFormat="1" applyFont="1" applyFill="1" applyBorder="1" applyAlignment="1">
      <alignment horizontal="center" vertical="center" wrapText="1"/>
    </xf>
    <xf numFmtId="164" fontId="0" fillId="12" borderId="8" xfId="0" applyNumberFormat="1" applyFill="1" applyBorder="1" applyAlignment="1">
      <alignment horizontal="center" vertical="center" wrapText="1"/>
    </xf>
    <xf numFmtId="2" fontId="0" fillId="12" borderId="8" xfId="0" applyNumberFormat="1" applyFill="1" applyBorder="1" applyAlignment="1">
      <alignment horizontal="center" vertical="center" wrapText="1"/>
    </xf>
    <xf numFmtId="2" fontId="0" fillId="12" borderId="9" xfId="0" applyNumberFormat="1" applyFill="1" applyBorder="1" applyAlignment="1">
      <alignment horizontal="center" vertical="center" wrapText="1"/>
    </xf>
    <xf numFmtId="0" fontId="0" fillId="12" borderId="10" xfId="0" applyFill="1" applyBorder="1" applyAlignment="1">
      <alignment horizontal="left" vertical="center" wrapText="1"/>
    </xf>
    <xf numFmtId="0" fontId="0" fillId="12" borderId="0" xfId="0" applyFill="1"/>
    <xf numFmtId="2" fontId="0" fillId="12" borderId="8" xfId="0" applyNumberFormat="1" applyFill="1" applyBorder="1" applyAlignment="1">
      <alignment horizontal="center" vertical="center"/>
    </xf>
    <xf numFmtId="164" fontId="0" fillId="12" borderId="8" xfId="0" applyNumberFormat="1" applyFill="1" applyBorder="1" applyAlignment="1">
      <alignment horizontal="center" vertical="center"/>
    </xf>
    <xf numFmtId="0" fontId="3" fillId="11" borderId="10" xfId="0" applyFont="1" applyFill="1" applyBorder="1" applyAlignment="1">
      <alignment horizontal="right" vertical="center" wrapText="1"/>
    </xf>
    <xf numFmtId="0" fontId="3" fillId="11" borderId="6" xfId="0" applyFont="1" applyFill="1" applyBorder="1" applyAlignment="1">
      <alignment horizontal="right" vertical="center"/>
    </xf>
    <xf numFmtId="3" fontId="4" fillId="11" borderId="7" xfId="0" applyNumberFormat="1" applyFont="1" applyFill="1" applyBorder="1" applyAlignment="1">
      <alignment horizontal="center" vertical="center"/>
    </xf>
    <xf numFmtId="2" fontId="0" fillId="12" borderId="9" xfId="0" applyNumberFormat="1" applyFill="1" applyBorder="1" applyAlignment="1">
      <alignment horizontal="center" vertical="center"/>
    </xf>
    <xf numFmtId="0" fontId="0" fillId="12" borderId="8" xfId="0" applyFill="1" applyBorder="1" applyAlignment="1">
      <alignment horizontal="center" vertical="center"/>
    </xf>
    <xf numFmtId="3" fontId="4" fillId="13" borderId="9" xfId="0" applyNumberFormat="1" applyFont="1" applyFill="1" applyBorder="1" applyAlignment="1">
      <alignment horizontal="center" vertical="center" wrapText="1"/>
    </xf>
    <xf numFmtId="2" fontId="0" fillId="14" borderId="8" xfId="0" applyNumberFormat="1" applyFill="1" applyBorder="1" applyAlignment="1">
      <alignment horizontal="center" vertical="center" wrapText="1"/>
    </xf>
    <xf numFmtId="2" fontId="0" fillId="14" borderId="9" xfId="0" applyNumberFormat="1" applyFill="1" applyBorder="1" applyAlignment="1">
      <alignment horizontal="center" vertical="center" wrapText="1"/>
    </xf>
    <xf numFmtId="164" fontId="0" fillId="14" borderId="8" xfId="0" applyNumberFormat="1" applyFill="1" applyBorder="1" applyAlignment="1">
      <alignment horizontal="center" vertical="center" wrapText="1"/>
    </xf>
    <xf numFmtId="0" fontId="0" fillId="14" borderId="10" xfId="0" applyFill="1" applyBorder="1" applyAlignment="1">
      <alignment horizontal="left" vertical="center" wrapText="1"/>
    </xf>
    <xf numFmtId="0" fontId="0" fillId="14" borderId="0" xfId="0" applyFill="1"/>
    <xf numFmtId="164" fontId="0" fillId="14" borderId="8" xfId="0" applyNumberFormat="1" applyFill="1" applyBorder="1" applyAlignment="1">
      <alignment horizontal="center" vertical="center"/>
    </xf>
    <xf numFmtId="0" fontId="8" fillId="13" borderId="10" xfId="0" applyFont="1" applyFill="1" applyBorder="1" applyAlignment="1">
      <alignment horizontal="right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0" fontId="8" fillId="13" borderId="6" xfId="0" applyFont="1" applyFill="1" applyBorder="1" applyAlignment="1">
      <alignment horizontal="right" vertical="center" wrapText="1"/>
    </xf>
    <xf numFmtId="3" fontId="4" fillId="13" borderId="7" xfId="0" applyNumberFormat="1" applyFont="1" applyFill="1" applyBorder="1" applyAlignment="1">
      <alignment horizontal="center" vertical="center" wrapText="1"/>
    </xf>
    <xf numFmtId="0" fontId="0" fillId="14" borderId="8" xfId="0" applyFill="1" applyBorder="1" applyAlignment="1">
      <alignment horizontal="center" vertical="center" wrapText="1"/>
    </xf>
    <xf numFmtId="1" fontId="0" fillId="14" borderId="9" xfId="0" applyNumberFormat="1" applyFill="1" applyBorder="1" applyAlignment="1">
      <alignment horizontal="center" vertical="center" wrapText="1"/>
    </xf>
    <xf numFmtId="1" fontId="0" fillId="14" borderId="8" xfId="0" applyNumberForma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5" fillId="7" borderId="30" xfId="0" applyFont="1" applyFill="1" applyBorder="1" applyAlignment="1">
      <alignment horizontal="right" vertical="center"/>
    </xf>
    <xf numFmtId="3" fontId="4" fillId="7" borderId="31" xfId="0" applyNumberFormat="1" applyFont="1" applyFill="1" applyBorder="1" applyAlignment="1">
      <alignment horizontal="center" vertical="center"/>
    </xf>
    <xf numFmtId="2" fontId="0" fillId="8" borderId="27" xfId="0" applyNumberFormat="1" applyFill="1" applyBorder="1" applyAlignment="1">
      <alignment horizontal="center" vertical="center"/>
    </xf>
    <xf numFmtId="0" fontId="0" fillId="8" borderId="27" xfId="0" applyFill="1" applyBorder="1" applyAlignment="1">
      <alignment horizontal="center" vertical="center"/>
    </xf>
    <xf numFmtId="0" fontId="0" fillId="8" borderId="26" xfId="0" applyFill="1" applyBorder="1" applyAlignment="1">
      <alignment horizontal="center" vertical="center"/>
    </xf>
    <xf numFmtId="2" fontId="0" fillId="8" borderId="18" xfId="0" applyNumberFormat="1" applyFill="1" applyBorder="1" applyAlignment="1">
      <alignment horizontal="center" vertical="center"/>
    </xf>
    <xf numFmtId="0" fontId="0" fillId="8" borderId="32" xfId="0" applyFill="1" applyBorder="1" applyAlignment="1">
      <alignment horizontal="left" vertical="center"/>
    </xf>
    <xf numFmtId="2" fontId="0" fillId="4" borderId="25" xfId="0" applyNumberFormat="1" applyFill="1" applyBorder="1" applyAlignment="1">
      <alignment horizontal="left" vertical="center" wrapText="1"/>
    </xf>
    <xf numFmtId="0" fontId="3" fillId="15" borderId="1" xfId="0" applyFont="1" applyFill="1" applyBorder="1" applyAlignment="1">
      <alignment horizontal="left" vertical="center"/>
    </xf>
    <xf numFmtId="0" fontId="3" fillId="15" borderId="3" xfId="0" applyFont="1" applyFill="1" applyBorder="1" applyAlignment="1">
      <alignment horizontal="left" vertical="center"/>
    </xf>
    <xf numFmtId="0" fontId="3" fillId="15" borderId="3" xfId="0" applyFont="1" applyFill="1" applyBorder="1" applyAlignment="1">
      <alignment horizontal="center" vertical="center"/>
    </xf>
    <xf numFmtId="3" fontId="4" fillId="15" borderId="4" xfId="0" applyNumberFormat="1" applyFont="1" applyFill="1" applyBorder="1" applyAlignment="1">
      <alignment horizontal="center" vertical="center"/>
    </xf>
    <xf numFmtId="1" fontId="2" fillId="5" borderId="4" xfId="0" applyNumberFormat="1" applyFont="1" applyFill="1" applyBorder="1" applyAlignment="1">
      <alignment horizontal="center" vertical="center"/>
    </xf>
    <xf numFmtId="1" fontId="2" fillId="5" borderId="42" xfId="0" applyNumberFormat="1" applyFont="1" applyFill="1" applyBorder="1" applyAlignment="1">
      <alignment horizontal="center" vertical="center"/>
    </xf>
    <xf numFmtId="1" fontId="2" fillId="5" borderId="43" xfId="0" applyNumberFormat="1" applyFont="1" applyFill="1" applyBorder="1" applyAlignment="1">
      <alignment horizontal="center" vertical="center"/>
    </xf>
    <xf numFmtId="1" fontId="2" fillId="5" borderId="5" xfId="0" applyNumberFormat="1" applyFont="1" applyFill="1" applyBorder="1" applyAlignment="1">
      <alignment horizontal="center" vertical="center"/>
    </xf>
    <xf numFmtId="0" fontId="3" fillId="15" borderId="1" xfId="0" applyFont="1" applyFill="1" applyBorder="1" applyAlignment="1">
      <alignment horizontal="center" vertical="center"/>
    </xf>
    <xf numFmtId="1" fontId="2" fillId="5" borderId="44" xfId="0" applyNumberFormat="1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left"/>
    </xf>
    <xf numFmtId="0" fontId="4" fillId="3" borderId="8" xfId="0" applyFont="1" applyFill="1" applyBorder="1" applyAlignment="1">
      <alignment horizontal="center"/>
    </xf>
    <xf numFmtId="3" fontId="4" fillId="3" borderId="9" xfId="0" applyNumberFormat="1" applyFont="1" applyFill="1" applyBorder="1" applyAlignment="1">
      <alignment horizontal="center"/>
    </xf>
    <xf numFmtId="0" fontId="4" fillId="17" borderId="22" xfId="0" applyFont="1" applyFill="1" applyBorder="1" applyAlignment="1">
      <alignment horizontal="center" vertical="center"/>
    </xf>
    <xf numFmtId="3" fontId="4" fillId="17" borderId="49" xfId="0" applyNumberFormat="1" applyFont="1" applyFill="1" applyBorder="1" applyAlignment="1">
      <alignment horizontal="center"/>
    </xf>
    <xf numFmtId="3" fontId="4" fillId="17" borderId="24" xfId="0" applyNumberFormat="1" applyFont="1" applyFill="1" applyBorder="1" applyAlignment="1">
      <alignment horizontal="center"/>
    </xf>
    <xf numFmtId="2" fontId="0" fillId="16" borderId="49" xfId="0" applyNumberFormat="1" applyFont="1" applyFill="1" applyBorder="1" applyAlignment="1">
      <alignment horizontal="center"/>
    </xf>
    <xf numFmtId="2" fontId="0" fillId="16" borderId="50" xfId="0" applyNumberFormat="1" applyFont="1" applyFill="1" applyBorder="1" applyAlignment="1">
      <alignment horizontal="center"/>
    </xf>
    <xf numFmtId="0" fontId="4" fillId="7" borderId="16" xfId="0" applyFont="1" applyFill="1" applyBorder="1" applyAlignment="1">
      <alignment horizontal="center" vertical="center"/>
    </xf>
    <xf numFmtId="2" fontId="0" fillId="8" borderId="51" xfId="0" applyNumberFormat="1" applyFont="1" applyFill="1" applyBorder="1" applyAlignment="1">
      <alignment horizontal="center"/>
    </xf>
    <xf numFmtId="0" fontId="3" fillId="19" borderId="7" xfId="0" applyFont="1" applyFill="1" applyBorder="1" applyAlignment="1">
      <alignment horizontal="center" vertical="center"/>
    </xf>
    <xf numFmtId="166" fontId="0" fillId="20" borderId="45" xfId="0" applyNumberFormat="1" applyFont="1" applyFill="1" applyBorder="1" applyAlignment="1">
      <alignment horizontal="center"/>
    </xf>
    <xf numFmtId="2" fontId="0" fillId="20" borderId="53" xfId="0" applyNumberFormat="1" applyFont="1" applyFill="1" applyBorder="1" applyAlignment="1">
      <alignment horizontal="center"/>
    </xf>
    <xf numFmtId="0" fontId="4" fillId="7" borderId="7" xfId="0" applyFont="1" applyFill="1" applyBorder="1" applyAlignment="1">
      <alignment horizontal="center" vertical="center"/>
    </xf>
    <xf numFmtId="166" fontId="0" fillId="8" borderId="45" xfId="0" applyNumberFormat="1" applyFont="1" applyFill="1" applyBorder="1" applyAlignment="1">
      <alignment horizontal="center"/>
    </xf>
    <xf numFmtId="2" fontId="0" fillId="8" borderId="53" xfId="0" applyNumberFormat="1" applyFont="1" applyFill="1" applyBorder="1" applyAlignment="1">
      <alignment horizontal="center"/>
    </xf>
    <xf numFmtId="0" fontId="0" fillId="0" borderId="0" xfId="0" applyAlignment="1">
      <alignment horizontal="left"/>
    </xf>
    <xf numFmtId="1" fontId="2" fillId="5" borderId="2" xfId="0" applyNumberFormat="1" applyFont="1" applyFill="1" applyBorder="1" applyAlignment="1">
      <alignment horizontal="center" vertical="center"/>
    </xf>
    <xf numFmtId="1" fontId="2" fillId="5" borderId="43" xfId="0" applyNumberFormat="1" applyFont="1" applyFill="1" applyBorder="1" applyAlignment="1">
      <alignment horizontal="center" vertical="center"/>
    </xf>
    <xf numFmtId="1" fontId="2" fillId="5" borderId="5" xfId="0" applyNumberFormat="1" applyFont="1" applyFill="1" applyBorder="1" applyAlignment="1">
      <alignment horizontal="left" vertical="center"/>
    </xf>
    <xf numFmtId="1" fontId="0" fillId="4" borderId="45" xfId="0" applyNumberFormat="1" applyFont="1" applyFill="1" applyBorder="1" applyAlignment="1">
      <alignment horizontal="center"/>
    </xf>
    <xf numFmtId="1" fontId="0" fillId="16" borderId="46" xfId="0" applyNumberFormat="1" applyFont="1" applyFill="1" applyBorder="1" applyAlignment="1">
      <alignment horizontal="center"/>
    </xf>
    <xf numFmtId="1" fontId="0" fillId="4" borderId="7" xfId="0" applyNumberFormat="1" applyFont="1" applyFill="1" applyBorder="1" applyAlignment="1">
      <alignment horizontal="center"/>
    </xf>
    <xf numFmtId="9" fontId="0" fillId="4" borderId="53" xfId="1" applyNumberFormat="1" applyFont="1" applyFill="1" applyBorder="1" applyAlignment="1">
      <alignment horizontal="center"/>
    </xf>
    <xf numFmtId="1" fontId="0" fillId="14" borderId="10" xfId="0" applyNumberFormat="1" applyFont="1" applyFill="1" applyBorder="1" applyAlignment="1">
      <alignment horizontal="left"/>
    </xf>
    <xf numFmtId="0" fontId="4" fillId="7" borderId="6" xfId="0" applyFont="1" applyFill="1" applyBorder="1" applyAlignment="1">
      <alignment horizontal="center" vertical="center"/>
    </xf>
    <xf numFmtId="0" fontId="4" fillId="7" borderId="8" xfId="0" applyFont="1" applyFill="1" applyBorder="1" applyAlignment="1">
      <alignment horizontal="left"/>
    </xf>
    <xf numFmtId="0" fontId="4" fillId="7" borderId="8" xfId="0" applyFont="1" applyFill="1" applyBorder="1" applyAlignment="1">
      <alignment horizontal="center"/>
    </xf>
    <xf numFmtId="3" fontId="4" fillId="7" borderId="9" xfId="0" applyNumberFormat="1" applyFont="1" applyFill="1" applyBorder="1" applyAlignment="1">
      <alignment horizontal="center"/>
    </xf>
    <xf numFmtId="1" fontId="0" fillId="8" borderId="45" xfId="0" applyNumberFormat="1" applyFont="1" applyFill="1" applyBorder="1" applyAlignment="1">
      <alignment horizontal="center"/>
    </xf>
    <xf numFmtId="1" fontId="0" fillId="18" borderId="46" xfId="0" applyNumberFormat="1" applyFont="1" applyFill="1" applyBorder="1" applyAlignment="1">
      <alignment horizontal="center"/>
    </xf>
    <xf numFmtId="1" fontId="0" fillId="8" borderId="7" xfId="0" applyNumberFormat="1" applyFont="1" applyFill="1" applyBorder="1" applyAlignment="1">
      <alignment horizontal="center"/>
    </xf>
    <xf numFmtId="9" fontId="0" fillId="8" borderId="53" xfId="1" applyNumberFormat="1" applyFont="1" applyFill="1" applyBorder="1" applyAlignment="1">
      <alignment horizontal="center"/>
    </xf>
    <xf numFmtId="0" fontId="4" fillId="7" borderId="55" xfId="0" applyFont="1" applyFill="1" applyBorder="1" applyAlignment="1">
      <alignment horizontal="center" vertical="center"/>
    </xf>
    <xf numFmtId="2" fontId="0" fillId="8" borderId="57" xfId="0" applyNumberFormat="1" applyFont="1" applyFill="1" applyBorder="1" applyAlignment="1">
      <alignment horizontal="center"/>
    </xf>
    <xf numFmtId="167" fontId="4" fillId="7" borderId="56" xfId="0" applyNumberFormat="1" applyFont="1" applyFill="1" applyBorder="1" applyAlignment="1">
      <alignment horizontal="center"/>
    </xf>
    <xf numFmtId="167" fontId="0" fillId="8" borderId="56" xfId="0" applyNumberFormat="1" applyFont="1" applyFill="1" applyBorder="1" applyAlignment="1">
      <alignment horizontal="center"/>
    </xf>
    <xf numFmtId="2" fontId="0" fillId="8" borderId="56" xfId="0" applyNumberFormat="1" applyFont="1" applyFill="1" applyBorder="1" applyAlignment="1">
      <alignment horizontal="center"/>
    </xf>
    <xf numFmtId="166" fontId="0" fillId="8" borderId="7" xfId="0" applyNumberFormat="1" applyFont="1" applyFill="1" applyBorder="1" applyAlignment="1">
      <alignment horizontal="center"/>
    </xf>
    <xf numFmtId="0" fontId="0" fillId="0" borderId="18" xfId="0" applyBorder="1"/>
    <xf numFmtId="2" fontId="0" fillId="8" borderId="59" xfId="0" applyNumberFormat="1" applyFont="1" applyFill="1" applyBorder="1" applyAlignment="1">
      <alignment horizontal="center"/>
    </xf>
    <xf numFmtId="3" fontId="4" fillId="17" borderId="49" xfId="0" applyNumberFormat="1" applyFont="1" applyFill="1" applyBorder="1" applyAlignment="1">
      <alignment horizontal="center" vertical="center"/>
    </xf>
    <xf numFmtId="3" fontId="4" fillId="17" borderId="24" xfId="0" applyNumberFormat="1" applyFont="1" applyFill="1" applyBorder="1" applyAlignment="1">
      <alignment horizontal="center" vertical="center"/>
    </xf>
    <xf numFmtId="2" fontId="0" fillId="16" borderId="49" xfId="0" applyNumberFormat="1" applyFont="1" applyFill="1" applyBorder="1" applyAlignment="1">
      <alignment horizontal="center" vertical="center"/>
    </xf>
    <xf numFmtId="2" fontId="0" fillId="16" borderId="29" xfId="0" applyNumberFormat="1" applyFont="1" applyFill="1" applyBorder="1" applyAlignment="1">
      <alignment horizontal="center" vertical="center"/>
    </xf>
    <xf numFmtId="2" fontId="0" fillId="16" borderId="50" xfId="0" applyNumberFormat="1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center" vertical="center"/>
    </xf>
    <xf numFmtId="3" fontId="4" fillId="3" borderId="9" xfId="0" applyNumberFormat="1" applyFont="1" applyFill="1" applyBorder="1" applyAlignment="1">
      <alignment horizontal="center" vertical="center"/>
    </xf>
    <xf numFmtId="2" fontId="0" fillId="4" borderId="9" xfId="0" applyNumberFormat="1" applyFont="1" applyFill="1" applyBorder="1" applyAlignment="1">
      <alignment horizontal="center" vertical="center"/>
    </xf>
    <xf numFmtId="2" fontId="0" fillId="4" borderId="45" xfId="0" applyNumberFormat="1" applyFont="1" applyFill="1" applyBorder="1" applyAlignment="1">
      <alignment horizontal="center" vertical="center"/>
    </xf>
    <xf numFmtId="2" fontId="0" fillId="16" borderId="46" xfId="0" applyNumberFormat="1" applyFont="1" applyFill="1" applyBorder="1" applyAlignment="1">
      <alignment horizontal="center" vertical="center"/>
    </xf>
    <xf numFmtId="9" fontId="0" fillId="14" borderId="21" xfId="1" applyFont="1" applyFill="1" applyBorder="1" applyAlignment="1">
      <alignment horizontal="left" vertical="center"/>
    </xf>
    <xf numFmtId="1" fontId="0" fillId="14" borderId="48" xfId="0" applyNumberFormat="1" applyFont="1" applyFill="1" applyBorder="1" applyAlignment="1">
      <alignment horizontal="left" vertical="center"/>
    </xf>
    <xf numFmtId="166" fontId="0" fillId="20" borderId="45" xfId="0" applyNumberFormat="1" applyFont="1" applyFill="1" applyBorder="1" applyAlignment="1">
      <alignment horizontal="center" vertical="center"/>
    </xf>
    <xf numFmtId="166" fontId="0" fillId="20" borderId="33" xfId="0" applyNumberFormat="1" applyFont="1" applyFill="1" applyBorder="1" applyAlignment="1">
      <alignment horizontal="center" vertical="center"/>
    </xf>
    <xf numFmtId="2" fontId="0" fillId="20" borderId="53" xfId="0" applyNumberFormat="1" applyFont="1" applyFill="1" applyBorder="1" applyAlignment="1">
      <alignment horizontal="center" vertical="center"/>
    </xf>
    <xf numFmtId="0" fontId="4" fillId="7" borderId="8" xfId="0" applyFont="1" applyFill="1" applyBorder="1" applyAlignment="1">
      <alignment horizontal="left" vertical="center" wrapText="1"/>
    </xf>
    <xf numFmtId="0" fontId="4" fillId="7" borderId="8" xfId="0" applyFont="1" applyFill="1" applyBorder="1" applyAlignment="1">
      <alignment horizontal="center" vertical="center"/>
    </xf>
    <xf numFmtId="3" fontId="4" fillId="7" borderId="9" xfId="0" applyNumberFormat="1" applyFont="1" applyFill="1" applyBorder="1" applyAlignment="1">
      <alignment horizontal="center" vertical="center"/>
    </xf>
    <xf numFmtId="2" fontId="0" fillId="8" borderId="45" xfId="0" applyNumberFormat="1" applyFont="1" applyFill="1" applyBorder="1" applyAlignment="1">
      <alignment horizontal="center" vertical="center"/>
    </xf>
    <xf numFmtId="2" fontId="0" fillId="18" borderId="46" xfId="0" applyNumberFormat="1" applyFont="1" applyFill="1" applyBorder="1" applyAlignment="1">
      <alignment horizontal="center" vertical="center"/>
    </xf>
    <xf numFmtId="1" fontId="0" fillId="14" borderId="6" xfId="0" applyNumberFormat="1" applyFont="1" applyFill="1" applyBorder="1" applyAlignment="1">
      <alignment horizontal="left" vertical="center"/>
    </xf>
    <xf numFmtId="1" fontId="0" fillId="14" borderId="46" xfId="0" applyNumberFormat="1" applyFont="1" applyFill="1" applyBorder="1" applyAlignment="1">
      <alignment horizontal="left" vertical="center"/>
    </xf>
    <xf numFmtId="0" fontId="3" fillId="7" borderId="7" xfId="0" applyFont="1" applyFill="1" applyBorder="1" applyAlignment="1">
      <alignment horizontal="center" vertical="center"/>
    </xf>
    <xf numFmtId="166" fontId="0" fillId="8" borderId="45" xfId="0" applyNumberFormat="1" applyFont="1" applyFill="1" applyBorder="1" applyAlignment="1">
      <alignment horizontal="center" vertical="center"/>
    </xf>
    <xf numFmtId="166" fontId="0" fillId="8" borderId="33" xfId="0" applyNumberFormat="1" applyFont="1" applyFill="1" applyBorder="1" applyAlignment="1">
      <alignment horizontal="center" vertical="center"/>
    </xf>
    <xf numFmtId="2" fontId="0" fillId="8" borderId="53" xfId="0" applyNumberFormat="1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left" vertical="center"/>
    </xf>
    <xf numFmtId="0" fontId="4" fillId="7" borderId="60" xfId="0" applyFont="1" applyFill="1" applyBorder="1" applyAlignment="1">
      <alignment horizontal="center" vertical="center"/>
    </xf>
    <xf numFmtId="0" fontId="4" fillId="7" borderId="61" xfId="0" applyFont="1" applyFill="1" applyBorder="1" applyAlignment="1">
      <alignment horizontal="left" vertical="center" wrapText="1"/>
    </xf>
    <xf numFmtId="0" fontId="4" fillId="7" borderId="61" xfId="0" applyFont="1" applyFill="1" applyBorder="1" applyAlignment="1">
      <alignment horizontal="center" vertical="center"/>
    </xf>
    <xf numFmtId="3" fontId="4" fillId="7" borderId="62" xfId="0" applyNumberFormat="1" applyFont="1" applyFill="1" applyBorder="1" applyAlignment="1">
      <alignment horizontal="center" vertical="center"/>
    </xf>
    <xf numFmtId="2" fontId="0" fillId="8" borderId="62" xfId="0" applyNumberFormat="1" applyFont="1" applyFill="1" applyBorder="1" applyAlignment="1">
      <alignment horizontal="center" vertical="center"/>
    </xf>
    <xf numFmtId="2" fontId="0" fillId="8" borderId="56" xfId="0" applyNumberFormat="1" applyFont="1" applyFill="1" applyBorder="1" applyAlignment="1">
      <alignment horizontal="center" vertical="center"/>
    </xf>
    <xf numFmtId="2" fontId="0" fillId="18" borderId="63" xfId="0" applyNumberFormat="1" applyFont="1" applyFill="1" applyBorder="1" applyAlignment="1">
      <alignment horizontal="center" vertical="center"/>
    </xf>
    <xf numFmtId="0" fontId="4" fillId="19" borderId="6" xfId="0" applyFont="1" applyFill="1" applyBorder="1" applyAlignment="1">
      <alignment horizontal="center" vertical="center"/>
    </xf>
    <xf numFmtId="0" fontId="4" fillId="19" borderId="8" xfId="0" applyFont="1" applyFill="1" applyBorder="1" applyAlignment="1">
      <alignment horizontal="left" vertical="center" wrapText="1"/>
    </xf>
    <xf numFmtId="164" fontId="4" fillId="19" borderId="8" xfId="0" applyNumberFormat="1" applyFont="1" applyFill="1" applyBorder="1" applyAlignment="1">
      <alignment horizontal="center" vertical="center"/>
    </xf>
    <xf numFmtId="3" fontId="4" fillId="19" borderId="9" xfId="0" applyNumberFormat="1" applyFont="1" applyFill="1" applyBorder="1" applyAlignment="1">
      <alignment horizontal="center" vertical="center"/>
    </xf>
    <xf numFmtId="2" fontId="0" fillId="20" borderId="9" xfId="0" applyNumberFormat="1" applyFont="1" applyFill="1" applyBorder="1" applyAlignment="1">
      <alignment horizontal="center" vertical="center"/>
    </xf>
    <xf numFmtId="2" fontId="0" fillId="20" borderId="45" xfId="0" applyNumberFormat="1" applyFont="1" applyFill="1" applyBorder="1" applyAlignment="1">
      <alignment horizontal="center" vertical="center"/>
    </xf>
    <xf numFmtId="2" fontId="0" fillId="20" borderId="46" xfId="0" applyNumberFormat="1" applyFont="1" applyFill="1" applyBorder="1" applyAlignment="1">
      <alignment horizontal="center" vertical="center"/>
    </xf>
    <xf numFmtId="0" fontId="4" fillId="19" borderId="60" xfId="0" applyFont="1" applyFill="1" applyBorder="1" applyAlignment="1">
      <alignment horizontal="center" vertical="center"/>
    </xf>
    <xf numFmtId="0" fontId="4" fillId="19" borderId="61" xfId="0" applyFont="1" applyFill="1" applyBorder="1" applyAlignment="1">
      <alignment horizontal="left" vertical="center" wrapText="1"/>
    </xf>
    <xf numFmtId="164" fontId="4" fillId="19" borderId="61" xfId="0" applyNumberFormat="1" applyFont="1" applyFill="1" applyBorder="1" applyAlignment="1">
      <alignment horizontal="center" vertical="center"/>
    </xf>
    <xf numFmtId="3" fontId="4" fillId="19" borderId="62" xfId="0" applyNumberFormat="1" applyFont="1" applyFill="1" applyBorder="1" applyAlignment="1">
      <alignment horizontal="center" vertical="center"/>
    </xf>
    <xf numFmtId="2" fontId="0" fillId="20" borderId="62" xfId="0" applyNumberFormat="1" applyFont="1" applyFill="1" applyBorder="1" applyAlignment="1">
      <alignment horizontal="center" vertical="center"/>
    </xf>
    <xf numFmtId="2" fontId="0" fillId="20" borderId="56" xfId="0" applyNumberFormat="1" applyFont="1" applyFill="1" applyBorder="1" applyAlignment="1">
      <alignment horizontal="center" vertical="center"/>
    </xf>
    <xf numFmtId="2" fontId="0" fillId="20" borderId="63" xfId="0" applyNumberFormat="1" applyFont="1" applyFill="1" applyBorder="1" applyAlignment="1">
      <alignment horizontal="center" vertical="center"/>
    </xf>
    <xf numFmtId="0" fontId="4" fillId="21" borderId="64" xfId="0" applyFont="1" applyFill="1" applyBorder="1" applyAlignment="1">
      <alignment horizontal="center" vertical="center"/>
    </xf>
    <xf numFmtId="0" fontId="4" fillId="21" borderId="65" xfId="0" applyFont="1" applyFill="1" applyBorder="1" applyAlignment="1">
      <alignment horizontal="left" vertical="center" wrapText="1"/>
    </xf>
    <xf numFmtId="2" fontId="4" fillId="21" borderId="65" xfId="0" applyNumberFormat="1" applyFont="1" applyFill="1" applyBorder="1" applyAlignment="1">
      <alignment horizontal="center" vertical="center"/>
    </xf>
    <xf numFmtId="3" fontId="4" fillId="21" borderId="66" xfId="0" applyNumberFormat="1" applyFont="1" applyFill="1" applyBorder="1" applyAlignment="1">
      <alignment horizontal="center" vertical="center"/>
    </xf>
    <xf numFmtId="2" fontId="0" fillId="22" borderId="66" xfId="0" applyNumberFormat="1" applyFont="1" applyFill="1" applyBorder="1" applyAlignment="1">
      <alignment horizontal="center" vertical="center"/>
    </xf>
    <xf numFmtId="2" fontId="0" fillId="22" borderId="67" xfId="0" applyNumberFormat="1" applyFont="1" applyFill="1" applyBorder="1" applyAlignment="1">
      <alignment horizontal="center" vertical="center"/>
    </xf>
    <xf numFmtId="2" fontId="0" fillId="22" borderId="68" xfId="0" applyNumberFormat="1" applyFont="1" applyFill="1" applyBorder="1" applyAlignment="1">
      <alignment horizontal="center" vertical="center"/>
    </xf>
    <xf numFmtId="0" fontId="4" fillId="7" borderId="17" xfId="0" applyFont="1" applyFill="1" applyBorder="1" applyAlignment="1">
      <alignment horizontal="center" vertical="center"/>
    </xf>
    <xf numFmtId="166" fontId="0" fillId="8" borderId="51" xfId="0" applyNumberFormat="1" applyFont="1" applyFill="1" applyBorder="1" applyAlignment="1">
      <alignment horizontal="center" vertical="center"/>
    </xf>
    <xf numFmtId="166" fontId="0" fillId="8" borderId="69" xfId="0" applyNumberFormat="1" applyFont="1" applyFill="1" applyBorder="1" applyAlignment="1">
      <alignment horizontal="center" vertical="center"/>
    </xf>
    <xf numFmtId="2" fontId="0" fillId="8" borderId="58" xfId="0" applyNumberFormat="1" applyFont="1" applyFill="1" applyBorder="1" applyAlignment="1">
      <alignment horizontal="center" vertical="center"/>
    </xf>
    <xf numFmtId="0" fontId="4" fillId="3" borderId="30" xfId="0" applyFont="1" applyFill="1" applyBorder="1" applyAlignment="1">
      <alignment horizontal="center" vertical="center"/>
    </xf>
    <xf numFmtId="0" fontId="4" fillId="3" borderId="27" xfId="0" applyFont="1" applyFill="1" applyBorder="1" applyAlignment="1">
      <alignment horizontal="left" vertical="center" wrapText="1"/>
    </xf>
    <xf numFmtId="2" fontId="4" fillId="3" borderId="27" xfId="0" applyNumberFormat="1" applyFont="1" applyFill="1" applyBorder="1" applyAlignment="1">
      <alignment horizontal="center" vertical="center"/>
    </xf>
    <xf numFmtId="3" fontId="4" fillId="3" borderId="26" xfId="0" applyNumberFormat="1" applyFont="1" applyFill="1" applyBorder="1" applyAlignment="1">
      <alignment horizontal="center" vertical="center"/>
    </xf>
    <xf numFmtId="2" fontId="0" fillId="4" borderId="26" xfId="0" applyNumberFormat="1" applyFont="1" applyFill="1" applyBorder="1" applyAlignment="1">
      <alignment horizontal="center" vertical="center"/>
    </xf>
    <xf numFmtId="2" fontId="0" fillId="4" borderId="70" xfId="0" applyNumberFormat="1" applyFont="1" applyFill="1" applyBorder="1" applyAlignment="1">
      <alignment horizontal="center" vertical="center"/>
    </xf>
    <xf numFmtId="2" fontId="0" fillId="22" borderId="71" xfId="0" applyNumberFormat="1" applyFont="1" applyFill="1" applyBorder="1" applyAlignment="1">
      <alignment horizontal="center" vertical="center"/>
    </xf>
    <xf numFmtId="1" fontId="0" fillId="14" borderId="16" xfId="0" applyNumberFormat="1" applyFont="1" applyFill="1" applyBorder="1" applyAlignment="1">
      <alignment horizontal="left" vertical="center"/>
    </xf>
    <xf numFmtId="1" fontId="0" fillId="14" borderId="52" xfId="0" applyNumberFormat="1" applyFont="1" applyFill="1" applyBorder="1" applyAlignment="1">
      <alignment horizontal="left" vertical="center"/>
    </xf>
    <xf numFmtId="2" fontId="0" fillId="16" borderId="53" xfId="0" applyNumberFormat="1" applyFont="1" applyFill="1" applyBorder="1" applyAlignment="1">
      <alignment horizontal="center" vertical="center"/>
    </xf>
    <xf numFmtId="1" fontId="0" fillId="14" borderId="21" xfId="0" applyNumberFormat="1" applyFont="1" applyFill="1" applyBorder="1" applyAlignment="1">
      <alignment horizontal="left" vertical="center"/>
    </xf>
    <xf numFmtId="2" fontId="0" fillId="18" borderId="53" xfId="0" applyNumberFormat="1" applyFont="1" applyFill="1" applyBorder="1" applyAlignment="1">
      <alignment horizontal="center" vertical="center"/>
    </xf>
    <xf numFmtId="0" fontId="3" fillId="7" borderId="55" xfId="0" applyFont="1" applyFill="1" applyBorder="1" applyAlignment="1">
      <alignment horizontal="center" vertical="center"/>
    </xf>
    <xf numFmtId="166" fontId="0" fillId="8" borderId="56" xfId="0" applyNumberFormat="1" applyFont="1" applyFill="1" applyBorder="1" applyAlignment="1">
      <alignment horizontal="center" vertical="center"/>
    </xf>
    <xf numFmtId="166" fontId="0" fillId="8" borderId="73" xfId="0" applyNumberFormat="1" applyFont="1" applyFill="1" applyBorder="1" applyAlignment="1">
      <alignment horizontal="center" vertical="center"/>
    </xf>
    <xf numFmtId="2" fontId="0" fillId="8" borderId="57" xfId="0" applyNumberFormat="1" applyFont="1" applyFill="1" applyBorder="1" applyAlignment="1">
      <alignment horizontal="center" vertical="center"/>
    </xf>
    <xf numFmtId="0" fontId="4" fillId="7" borderId="18" xfId="0" applyFont="1" applyFill="1" applyBorder="1" applyAlignment="1">
      <alignment horizontal="left" vertical="center" wrapText="1"/>
    </xf>
    <xf numFmtId="0" fontId="4" fillId="7" borderId="18" xfId="0" applyFont="1" applyFill="1" applyBorder="1" applyAlignment="1">
      <alignment horizontal="center" vertical="center"/>
    </xf>
    <xf numFmtId="3" fontId="4" fillId="7" borderId="19" xfId="0" applyNumberFormat="1" applyFont="1" applyFill="1" applyBorder="1" applyAlignment="1">
      <alignment horizontal="center" vertical="center"/>
    </xf>
    <xf numFmtId="2" fontId="0" fillId="8" borderId="19" xfId="0" applyNumberFormat="1" applyFont="1" applyFill="1" applyBorder="1" applyAlignment="1">
      <alignment horizontal="center" vertical="center"/>
    </xf>
    <xf numFmtId="2" fontId="0" fillId="8" borderId="51" xfId="0" applyNumberFormat="1" applyFont="1" applyFill="1" applyBorder="1" applyAlignment="1">
      <alignment horizontal="center" vertical="center"/>
    </xf>
    <xf numFmtId="2" fontId="0" fillId="18" borderId="58" xfId="0" applyNumberFormat="1" applyFont="1" applyFill="1" applyBorder="1" applyAlignment="1">
      <alignment horizontal="center" vertical="center"/>
    </xf>
    <xf numFmtId="2" fontId="0" fillId="18" borderId="52" xfId="0" applyNumberFormat="1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1" fontId="0" fillId="14" borderId="20" xfId="0" applyNumberFormat="1" applyFont="1" applyFill="1" applyBorder="1" applyAlignment="1">
      <alignment horizontal="left" vertical="center"/>
    </xf>
    <xf numFmtId="0" fontId="3" fillId="15" borderId="3" xfId="0" applyFont="1" applyFill="1" applyBorder="1" applyAlignment="1">
      <alignment horizontal="left" vertical="center" wrapText="1"/>
    </xf>
    <xf numFmtId="1" fontId="0" fillId="4" borderId="9" xfId="0" applyNumberFormat="1" applyFont="1" applyFill="1" applyBorder="1" applyAlignment="1">
      <alignment horizontal="center" vertical="center"/>
    </xf>
    <xf numFmtId="1" fontId="0" fillId="4" borderId="45" xfId="0" applyNumberFormat="1" applyFont="1" applyFill="1" applyBorder="1" applyAlignment="1">
      <alignment horizontal="center" vertical="center"/>
    </xf>
    <xf numFmtId="1" fontId="0" fillId="16" borderId="46" xfId="0" applyNumberFormat="1" applyFont="1" applyFill="1" applyBorder="1" applyAlignment="1">
      <alignment horizontal="center" vertical="center"/>
    </xf>
    <xf numFmtId="1" fontId="0" fillId="4" borderId="7" xfId="0" applyNumberFormat="1" applyFont="1" applyFill="1" applyBorder="1" applyAlignment="1">
      <alignment horizontal="center" vertical="center"/>
    </xf>
    <xf numFmtId="9" fontId="0" fillId="4" borderId="53" xfId="1" applyNumberFormat="1" applyFont="1" applyFill="1" applyBorder="1" applyAlignment="1">
      <alignment horizontal="center" vertical="center"/>
    </xf>
    <xf numFmtId="1" fontId="0" fillId="14" borderId="10" xfId="0" applyNumberFormat="1" applyFont="1" applyFill="1" applyBorder="1" applyAlignment="1">
      <alignment horizontal="left" vertical="center"/>
    </xf>
    <xf numFmtId="1" fontId="0" fillId="8" borderId="9" xfId="0" applyNumberFormat="1" applyFont="1" applyFill="1" applyBorder="1" applyAlignment="1">
      <alignment horizontal="center" vertical="center"/>
    </xf>
    <xf numFmtId="1" fontId="0" fillId="8" borderId="45" xfId="0" applyNumberFormat="1" applyFont="1" applyFill="1" applyBorder="1" applyAlignment="1">
      <alignment horizontal="center" vertical="center"/>
    </xf>
    <xf numFmtId="1" fontId="0" fillId="18" borderId="46" xfId="0" applyNumberFormat="1" applyFont="1" applyFill="1" applyBorder="1" applyAlignment="1">
      <alignment horizontal="center" vertical="center"/>
    </xf>
    <xf numFmtId="1" fontId="0" fillId="8" borderId="7" xfId="0" applyNumberFormat="1" applyFont="1" applyFill="1" applyBorder="1" applyAlignment="1">
      <alignment horizontal="center" vertical="center"/>
    </xf>
    <xf numFmtId="9" fontId="0" fillId="8" borderId="53" xfId="1" applyNumberFormat="1" applyFont="1" applyFill="1" applyBorder="1" applyAlignment="1">
      <alignment horizontal="center" vertical="center"/>
    </xf>
    <xf numFmtId="166" fontId="0" fillId="8" borderId="53" xfId="0" applyNumberFormat="1" applyFont="1" applyFill="1" applyBorder="1" applyAlignment="1">
      <alignment horizontal="center" vertical="center"/>
    </xf>
    <xf numFmtId="2" fontId="0" fillId="4" borderId="7" xfId="0" applyNumberFormat="1" applyFont="1" applyFill="1" applyBorder="1" applyAlignment="1">
      <alignment horizontal="center" vertical="center"/>
    </xf>
    <xf numFmtId="2" fontId="0" fillId="14" borderId="25" xfId="0" applyNumberFormat="1" applyFont="1" applyFill="1" applyBorder="1" applyAlignment="1">
      <alignment horizontal="left" vertical="center"/>
    </xf>
    <xf numFmtId="2" fontId="0" fillId="8" borderId="7" xfId="0" applyNumberFormat="1" applyFont="1" applyFill="1" applyBorder="1" applyAlignment="1">
      <alignment horizontal="center" vertical="center"/>
    </xf>
    <xf numFmtId="2" fontId="0" fillId="14" borderId="10" xfId="0" applyNumberFormat="1" applyFont="1" applyFill="1" applyBorder="1" applyAlignment="1">
      <alignment horizontal="left" vertical="center"/>
    </xf>
    <xf numFmtId="2" fontId="0" fillId="8" borderId="17" xfId="0" applyNumberFormat="1" applyFont="1" applyFill="1" applyBorder="1" applyAlignment="1">
      <alignment horizontal="center" vertical="center"/>
    </xf>
    <xf numFmtId="9" fontId="0" fillId="8" borderId="58" xfId="1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1" fontId="0" fillId="14" borderId="72" xfId="0" applyNumberFormat="1" applyFont="1" applyFill="1" applyBorder="1" applyAlignment="1">
      <alignment horizontal="left"/>
    </xf>
    <xf numFmtId="0" fontId="4" fillId="7" borderId="74" xfId="0" applyFont="1" applyFill="1" applyBorder="1" applyAlignment="1">
      <alignment horizontal="center" vertical="center"/>
    </xf>
    <xf numFmtId="166" fontId="0" fillId="8" borderId="75" xfId="0" applyNumberFormat="1" applyFont="1" applyFill="1" applyBorder="1" applyAlignment="1">
      <alignment horizontal="center"/>
    </xf>
    <xf numFmtId="2" fontId="0" fillId="8" borderId="76" xfId="0" applyNumberFormat="1" applyFont="1" applyFill="1" applyBorder="1" applyAlignment="1">
      <alignment horizontal="center"/>
    </xf>
    <xf numFmtId="2" fontId="0" fillId="16" borderId="29" xfId="0" applyNumberFormat="1" applyFont="1" applyFill="1" applyBorder="1" applyAlignment="1">
      <alignment horizontal="center"/>
    </xf>
    <xf numFmtId="166" fontId="0" fillId="20" borderId="33" xfId="0" applyNumberFormat="1" applyFont="1" applyFill="1" applyBorder="1" applyAlignment="1">
      <alignment horizontal="center"/>
    </xf>
    <xf numFmtId="166" fontId="0" fillId="8" borderId="33" xfId="0" applyNumberFormat="1" applyFont="1" applyFill="1" applyBorder="1" applyAlignment="1">
      <alignment horizontal="center"/>
    </xf>
    <xf numFmtId="166" fontId="0" fillId="8" borderId="77" xfId="0" applyNumberFormat="1" applyFont="1" applyFill="1" applyBorder="1" applyAlignment="1">
      <alignment horizontal="center"/>
    </xf>
    <xf numFmtId="2" fontId="0" fillId="8" borderId="73" xfId="0" applyNumberFormat="1" applyFont="1" applyFill="1" applyBorder="1" applyAlignment="1">
      <alignment horizontal="center"/>
    </xf>
    <xf numFmtId="2" fontId="0" fillId="8" borderId="69" xfId="0" applyNumberFormat="1" applyFont="1" applyFill="1" applyBorder="1" applyAlignment="1">
      <alignment horizontal="center"/>
    </xf>
    <xf numFmtId="1" fontId="0" fillId="14" borderId="5" xfId="0" applyNumberFormat="1" applyFont="1" applyFill="1" applyBorder="1" applyAlignment="1">
      <alignment horizontal="left"/>
    </xf>
    <xf numFmtId="2" fontId="0" fillId="4" borderId="2" xfId="0" applyNumberFormat="1" applyFont="1" applyFill="1" applyBorder="1" applyAlignment="1">
      <alignment horizontal="center"/>
    </xf>
    <xf numFmtId="2" fontId="0" fillId="4" borderId="42" xfId="0" applyNumberFormat="1" applyFont="1" applyFill="1" applyBorder="1" applyAlignment="1">
      <alignment horizontal="center"/>
    </xf>
    <xf numFmtId="9" fontId="0" fillId="4" borderId="44" xfId="1" applyNumberFormat="1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left"/>
    </xf>
    <xf numFmtId="0" fontId="4" fillId="3" borderId="3" xfId="0" applyFont="1" applyFill="1" applyBorder="1" applyAlignment="1">
      <alignment horizontal="center"/>
    </xf>
    <xf numFmtId="3" fontId="4" fillId="3" borderId="4" xfId="0" applyNumberFormat="1" applyFont="1" applyFill="1" applyBorder="1" applyAlignment="1">
      <alignment horizontal="center"/>
    </xf>
    <xf numFmtId="2" fontId="0" fillId="16" borderId="43" xfId="0" applyNumberFormat="1" applyFont="1" applyFill="1" applyBorder="1" applyAlignment="1">
      <alignment horizontal="center"/>
    </xf>
    <xf numFmtId="166" fontId="4" fillId="7" borderId="31" xfId="0" applyNumberFormat="1" applyFont="1" applyFill="1" applyBorder="1" applyAlignment="1">
      <alignment horizontal="center"/>
    </xf>
    <xf numFmtId="166" fontId="0" fillId="8" borderId="51" xfId="0" applyNumberFormat="1" applyFont="1" applyFill="1" applyBorder="1" applyAlignment="1">
      <alignment horizontal="center"/>
    </xf>
    <xf numFmtId="2" fontId="2" fillId="8" borderId="5" xfId="0" applyNumberFormat="1" applyFont="1" applyFill="1" applyBorder="1" applyAlignment="1">
      <alignment horizontal="center" vertical="center"/>
    </xf>
    <xf numFmtId="1" fontId="0" fillId="14" borderId="1" xfId="0" applyNumberFormat="1" applyFont="1" applyFill="1" applyBorder="1" applyAlignment="1">
      <alignment horizontal="center" vertical="center"/>
    </xf>
    <xf numFmtId="1" fontId="0" fillId="14" borderId="43" xfId="0" applyNumberFormat="1" applyFont="1" applyFill="1" applyBorder="1" applyAlignment="1">
      <alignment horizontal="left" vertical="center" indent="1"/>
    </xf>
    <xf numFmtId="0" fontId="4" fillId="3" borderId="18" xfId="0" applyFont="1" applyFill="1" applyBorder="1" applyAlignment="1">
      <alignment horizontal="left"/>
    </xf>
    <xf numFmtId="0" fontId="4" fillId="3" borderId="18" xfId="0" applyFont="1" applyFill="1" applyBorder="1" applyAlignment="1">
      <alignment horizontal="center"/>
    </xf>
    <xf numFmtId="3" fontId="4" fillId="3" borderId="19" xfId="0" applyNumberFormat="1" applyFont="1" applyFill="1" applyBorder="1" applyAlignment="1">
      <alignment horizontal="center"/>
    </xf>
    <xf numFmtId="2" fontId="0" fillId="4" borderId="51" xfId="0" applyNumberFormat="1" applyFont="1" applyFill="1" applyBorder="1" applyAlignment="1">
      <alignment horizontal="center"/>
    </xf>
    <xf numFmtId="2" fontId="0" fillId="16" borderId="52" xfId="0" applyNumberFormat="1" applyFont="1" applyFill="1" applyBorder="1" applyAlignment="1">
      <alignment horizontal="center"/>
    </xf>
    <xf numFmtId="1" fontId="0" fillId="8" borderId="17" xfId="0" applyNumberFormat="1" applyFont="1" applyFill="1" applyBorder="1" applyAlignment="1">
      <alignment horizontal="center" vertical="center"/>
    </xf>
    <xf numFmtId="1" fontId="0" fillId="8" borderId="51" xfId="0" applyNumberFormat="1" applyFont="1" applyFill="1" applyBorder="1" applyAlignment="1">
      <alignment horizontal="center" vertical="center"/>
    </xf>
    <xf numFmtId="1" fontId="0" fillId="8" borderId="19" xfId="0" applyNumberFormat="1" applyFont="1" applyFill="1" applyBorder="1" applyAlignment="1">
      <alignment horizontal="center" vertical="center"/>
    </xf>
    <xf numFmtId="1" fontId="0" fillId="18" borderId="52" xfId="0" applyNumberFormat="1" applyFont="1" applyFill="1" applyBorder="1" applyAlignment="1">
      <alignment horizontal="center" vertical="center"/>
    </xf>
    <xf numFmtId="2" fontId="0" fillId="4" borderId="21" xfId="0" applyNumberFormat="1" applyFill="1" applyBorder="1" applyAlignment="1">
      <alignment horizontal="center" vertical="center"/>
    </xf>
    <xf numFmtId="164" fontId="0" fillId="4" borderId="23" xfId="0" applyNumberFormat="1" applyFill="1" applyBorder="1" applyAlignment="1">
      <alignment horizontal="center" vertical="center"/>
    </xf>
    <xf numFmtId="9" fontId="0" fillId="4" borderId="48" xfId="1" applyFont="1" applyFill="1" applyBorder="1" applyAlignment="1">
      <alignment horizontal="center" vertical="center"/>
    </xf>
    <xf numFmtId="2" fontId="2" fillId="8" borderId="6" xfId="0" applyNumberFormat="1" applyFont="1" applyFill="1" applyBorder="1" applyAlignment="1">
      <alignment horizontal="center" vertical="center"/>
    </xf>
    <xf numFmtId="9" fontId="0" fillId="8" borderId="46" xfId="1" applyFont="1" applyFill="1" applyBorder="1" applyAlignment="1">
      <alignment horizontal="center" vertical="center"/>
    </xf>
    <xf numFmtId="2" fontId="0" fillId="8" borderId="6" xfId="0" applyNumberFormat="1" applyFill="1" applyBorder="1" applyAlignment="1">
      <alignment horizontal="center" vertical="center"/>
    </xf>
    <xf numFmtId="4" fontId="0" fillId="8" borderId="46" xfId="1" applyNumberFormat="1" applyFont="1" applyFill="1" applyBorder="1" applyAlignment="1">
      <alignment horizontal="center" vertical="center"/>
    </xf>
    <xf numFmtId="2" fontId="0" fillId="8" borderId="16" xfId="0" applyNumberFormat="1" applyFill="1" applyBorder="1" applyAlignment="1">
      <alignment horizontal="center" vertical="center"/>
    </xf>
    <xf numFmtId="164" fontId="0" fillId="8" borderId="18" xfId="0" applyNumberFormat="1" applyFill="1" applyBorder="1" applyAlignment="1">
      <alignment horizontal="center" vertical="center"/>
    </xf>
    <xf numFmtId="9" fontId="0" fillId="8" borderId="52" xfId="1" applyFont="1" applyFill="1" applyBorder="1" applyAlignment="1">
      <alignment horizontal="center" vertical="center"/>
    </xf>
    <xf numFmtId="0" fontId="8" fillId="7" borderId="20" xfId="0" applyFont="1" applyFill="1" applyBorder="1" applyAlignment="1">
      <alignment horizontal="right" vertical="center" wrapText="1"/>
    </xf>
    <xf numFmtId="2" fontId="0" fillId="8" borderId="19" xfId="0" applyNumberFormat="1" applyFill="1" applyBorder="1" applyAlignment="1">
      <alignment horizontal="center" vertical="center" wrapText="1"/>
    </xf>
    <xf numFmtId="1" fontId="0" fillId="4" borderId="21" xfId="0" applyNumberFormat="1" applyFill="1" applyBorder="1" applyAlignment="1">
      <alignment horizontal="center" vertical="center"/>
    </xf>
    <xf numFmtId="1" fontId="0" fillId="4" borderId="23" xfId="0" applyNumberFormat="1" applyFill="1" applyBorder="1" applyAlignment="1">
      <alignment horizontal="center" vertical="center"/>
    </xf>
    <xf numFmtId="1" fontId="0" fillId="4" borderId="6" xfId="0" applyNumberFormat="1" applyFill="1" applyBorder="1" applyAlignment="1">
      <alignment horizontal="center" vertical="center"/>
    </xf>
    <xf numFmtId="9" fontId="0" fillId="4" borderId="46" xfId="1" applyFont="1" applyFill="1" applyBorder="1" applyAlignment="1">
      <alignment horizontal="center" vertical="center"/>
    </xf>
    <xf numFmtId="1" fontId="0" fillId="14" borderId="6" xfId="0" applyNumberFormat="1" applyFill="1" applyBorder="1" applyAlignment="1">
      <alignment horizontal="center" vertical="center"/>
    </xf>
    <xf numFmtId="9" fontId="0" fillId="14" borderId="46" xfId="1" applyFont="1" applyFill="1" applyBorder="1" applyAlignment="1">
      <alignment horizontal="center" vertical="center"/>
    </xf>
    <xf numFmtId="1" fontId="0" fillId="8" borderId="6" xfId="0" applyNumberFormat="1" applyFill="1" applyBorder="1" applyAlignment="1">
      <alignment horizontal="center" vertical="center"/>
    </xf>
    <xf numFmtId="2" fontId="0" fillId="4" borderId="6" xfId="0" applyNumberFormat="1" applyFill="1" applyBorder="1" applyAlignment="1">
      <alignment horizontal="center" vertical="center"/>
    </xf>
    <xf numFmtId="0" fontId="7" fillId="10" borderId="8" xfId="0" applyFont="1" applyFill="1" applyBorder="1" applyAlignment="1">
      <alignment horizontal="center" vertical="center" wrapText="1"/>
    </xf>
    <xf numFmtId="0" fontId="6" fillId="9" borderId="20" xfId="0" applyFont="1" applyFill="1" applyBorder="1" applyAlignment="1">
      <alignment horizontal="right" vertical="center" wrapText="1"/>
    </xf>
    <xf numFmtId="3" fontId="4" fillId="9" borderId="19" xfId="0" applyNumberFormat="1" applyFont="1" applyFill="1" applyBorder="1" applyAlignment="1">
      <alignment horizontal="center" vertical="center" wrapText="1"/>
    </xf>
    <xf numFmtId="2" fontId="0" fillId="10" borderId="18" xfId="0" applyNumberFormat="1" applyFont="1" applyFill="1" applyBorder="1" applyAlignment="1">
      <alignment horizontal="center" vertical="center" wrapText="1"/>
    </xf>
    <xf numFmtId="0" fontId="0" fillId="10" borderId="18" xfId="0" applyFont="1" applyFill="1" applyBorder="1" applyAlignment="1">
      <alignment horizontal="center" vertical="center" wrapText="1"/>
    </xf>
    <xf numFmtId="1" fontId="0" fillId="10" borderId="19" xfId="0" applyNumberFormat="1" applyFont="1" applyFill="1" applyBorder="1" applyAlignment="1">
      <alignment horizontal="center" vertical="center" wrapText="1"/>
    </xf>
    <xf numFmtId="0" fontId="7" fillId="10" borderId="18" xfId="0" applyFont="1" applyFill="1" applyBorder="1" applyAlignment="1">
      <alignment horizontal="center" vertical="center" wrapText="1"/>
    </xf>
    <xf numFmtId="2" fontId="7" fillId="10" borderId="18" xfId="0" applyNumberFormat="1" applyFont="1" applyFill="1" applyBorder="1" applyAlignment="1">
      <alignment horizontal="center" vertical="center" wrapText="1"/>
    </xf>
    <xf numFmtId="0" fontId="0" fillId="10" borderId="20" xfId="0" applyFont="1" applyFill="1" applyBorder="1" applyAlignment="1">
      <alignment horizontal="left" vertical="center" wrapText="1"/>
    </xf>
    <xf numFmtId="2" fontId="0" fillId="12" borderId="6" xfId="0" applyNumberFormat="1" applyFill="1" applyBorder="1" applyAlignment="1">
      <alignment horizontal="center" vertical="center"/>
    </xf>
    <xf numFmtId="9" fontId="0" fillId="12" borderId="46" xfId="1" applyFont="1" applyFill="1" applyBorder="1" applyAlignment="1">
      <alignment horizontal="center" vertical="center"/>
    </xf>
    <xf numFmtId="0" fontId="0" fillId="0" borderId="16" xfId="0" applyBorder="1"/>
    <xf numFmtId="0" fontId="0" fillId="0" borderId="52" xfId="0" applyBorder="1"/>
    <xf numFmtId="164" fontId="0" fillId="8" borderId="0" xfId="0" applyNumberFormat="1" applyFill="1" applyBorder="1" applyAlignment="1">
      <alignment horizontal="center" vertical="center"/>
    </xf>
    <xf numFmtId="2" fontId="0" fillId="4" borderId="16" xfId="0" applyNumberFormat="1" applyFill="1" applyBorder="1" applyAlignment="1">
      <alignment horizontal="center" vertical="center"/>
    </xf>
    <xf numFmtId="164" fontId="0" fillId="4" borderId="18" xfId="0" applyNumberFormat="1" applyFill="1" applyBorder="1" applyAlignment="1">
      <alignment horizontal="center" vertical="center"/>
    </xf>
    <xf numFmtId="9" fontId="0" fillId="4" borderId="52" xfId="1" applyFont="1" applyFill="1" applyBorder="1" applyAlignment="1">
      <alignment horizontal="center" vertical="center"/>
    </xf>
    <xf numFmtId="0" fontId="5" fillId="7" borderId="72" xfId="0" applyFont="1" applyFill="1" applyBorder="1" applyAlignment="1">
      <alignment horizontal="right" vertical="center" wrapText="1"/>
    </xf>
    <xf numFmtId="3" fontId="4" fillId="7" borderId="78" xfId="0" applyNumberFormat="1" applyFont="1" applyFill="1" applyBorder="1" applyAlignment="1">
      <alignment horizontal="center" vertical="center" wrapText="1"/>
    </xf>
    <xf numFmtId="2" fontId="0" fillId="8" borderId="0" xfId="0" applyNumberFormat="1" applyFill="1" applyBorder="1" applyAlignment="1">
      <alignment horizontal="center" vertical="center" wrapText="1"/>
    </xf>
    <xf numFmtId="164" fontId="0" fillId="8" borderId="0" xfId="0" applyNumberFormat="1" applyFill="1" applyBorder="1" applyAlignment="1">
      <alignment horizontal="center" vertical="center" wrapText="1"/>
    </xf>
    <xf numFmtId="1" fontId="0" fillId="8" borderId="78" xfId="0" applyNumberFormat="1" applyFill="1" applyBorder="1" applyAlignment="1">
      <alignment horizontal="center" vertical="center" wrapText="1"/>
    </xf>
    <xf numFmtId="0" fontId="0" fillId="8" borderId="72" xfId="0" applyFill="1" applyBorder="1" applyAlignment="1">
      <alignment horizontal="left" vertical="center" wrapText="1"/>
    </xf>
    <xf numFmtId="2" fontId="0" fillId="8" borderId="79" xfId="0" applyNumberFormat="1" applyFill="1" applyBorder="1" applyAlignment="1">
      <alignment horizontal="center" vertical="center"/>
    </xf>
    <xf numFmtId="9" fontId="0" fillId="8" borderId="80" xfId="1" applyFont="1" applyFill="1" applyBorder="1" applyAlignment="1">
      <alignment horizontal="center" vertical="center"/>
    </xf>
    <xf numFmtId="2" fontId="0" fillId="4" borderId="33" xfId="0" applyNumberFormat="1" applyFill="1" applyBorder="1" applyAlignment="1">
      <alignment horizontal="center" vertical="center" wrapText="1"/>
    </xf>
    <xf numFmtId="0" fontId="0" fillId="0" borderId="81" xfId="0" applyBorder="1"/>
    <xf numFmtId="0" fontId="0" fillId="0" borderId="0" xfId="0" applyBorder="1"/>
    <xf numFmtId="2" fontId="0" fillId="8" borderId="60" xfId="0" applyNumberFormat="1" applyFill="1" applyBorder="1" applyAlignment="1">
      <alignment horizontal="center" vertical="center"/>
    </xf>
    <xf numFmtId="164" fontId="0" fillId="8" borderId="61" xfId="0" applyNumberFormat="1" applyFill="1" applyBorder="1" applyAlignment="1">
      <alignment horizontal="center" vertical="center"/>
    </xf>
    <xf numFmtId="9" fontId="0" fillId="8" borderId="63" xfId="1" applyFont="1" applyFill="1" applyBorder="1" applyAlignment="1">
      <alignment horizontal="center" vertical="center"/>
    </xf>
    <xf numFmtId="4" fontId="0" fillId="8" borderId="52" xfId="1" applyNumberFormat="1" applyFont="1" applyFill="1" applyBorder="1" applyAlignment="1">
      <alignment horizontal="center" vertical="center"/>
    </xf>
    <xf numFmtId="2" fontId="0" fillId="14" borderId="6" xfId="0" applyNumberFormat="1" applyFill="1" applyBorder="1" applyAlignment="1">
      <alignment horizontal="center" vertical="center"/>
    </xf>
    <xf numFmtId="1" fontId="2" fillId="5" borderId="43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8" borderId="27" xfId="0" applyNumberFormat="1" applyFont="1" applyFill="1" applyBorder="1" applyAlignment="1">
      <alignment horizontal="center" vertical="center" wrapText="1"/>
    </xf>
    <xf numFmtId="1" fontId="0" fillId="8" borderId="19" xfId="0" applyNumberFormat="1" applyFont="1" applyFill="1" applyBorder="1" applyAlignment="1">
      <alignment horizontal="center" vertical="center" wrapText="1"/>
    </xf>
    <xf numFmtId="2" fontId="0" fillId="8" borderId="18" xfId="0" applyNumberFormat="1" applyFont="1" applyFill="1" applyBorder="1" applyAlignment="1">
      <alignment horizontal="center" vertical="center" wrapText="1"/>
    </xf>
    <xf numFmtId="164" fontId="0" fillId="8" borderId="18" xfId="0" applyNumberFormat="1" applyFont="1" applyFill="1" applyBorder="1" applyAlignment="1">
      <alignment horizontal="center" vertical="center" wrapText="1"/>
    </xf>
    <xf numFmtId="0" fontId="0" fillId="8" borderId="20" xfId="0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vertical="center"/>
    </xf>
    <xf numFmtId="4" fontId="3" fillId="2" borderId="1" xfId="0" applyNumberFormat="1" applyFont="1" applyFill="1" applyBorder="1" applyAlignment="1">
      <alignment horizontal="center" vertical="center"/>
    </xf>
    <xf numFmtId="10" fontId="0" fillId="4" borderId="46" xfId="1" applyNumberFormat="1" applyFont="1" applyFill="1" applyBorder="1" applyAlignment="1">
      <alignment horizontal="center" vertical="center"/>
    </xf>
    <xf numFmtId="2" fontId="0" fillId="8" borderId="6" xfId="0" applyNumberFormat="1" applyFill="1" applyBorder="1" applyAlignment="1">
      <alignment horizontal="right" vertical="center"/>
    </xf>
    <xf numFmtId="3" fontId="0" fillId="8" borderId="46" xfId="1" applyNumberFormat="1" applyFont="1" applyFill="1" applyBorder="1" applyAlignment="1">
      <alignment horizontal="center" vertical="center"/>
    </xf>
    <xf numFmtId="9" fontId="2" fillId="8" borderId="46" xfId="1" applyFont="1" applyFill="1" applyBorder="1" applyAlignment="1">
      <alignment horizontal="center" vertical="center"/>
    </xf>
    <xf numFmtId="2" fontId="0" fillId="8" borderId="6" xfId="0" applyNumberFormat="1" applyFont="1" applyFill="1" applyBorder="1" applyAlignment="1">
      <alignment horizontal="center" vertical="center"/>
    </xf>
    <xf numFmtId="9" fontId="1" fillId="8" borderId="46" xfId="1" applyFont="1" applyFill="1" applyBorder="1" applyAlignment="1">
      <alignment horizontal="center" vertical="center"/>
    </xf>
    <xf numFmtId="2" fontId="0" fillId="4" borderId="19" xfId="0" applyNumberFormat="1" applyFont="1" applyFill="1" applyBorder="1" applyAlignment="1">
      <alignment horizontal="center"/>
    </xf>
    <xf numFmtId="49" fontId="0" fillId="14" borderId="16" xfId="0" applyNumberFormat="1" applyFont="1" applyFill="1" applyBorder="1" applyAlignment="1">
      <alignment horizontal="center"/>
    </xf>
    <xf numFmtId="49" fontId="0" fillId="14" borderId="43" xfId="0" applyNumberFormat="1" applyFont="1" applyFill="1" applyBorder="1" applyAlignment="1">
      <alignment vertical="center"/>
    </xf>
    <xf numFmtId="0" fontId="4" fillId="3" borderId="21" xfId="0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left"/>
    </xf>
    <xf numFmtId="0" fontId="4" fillId="3" borderId="23" xfId="0" applyFont="1" applyFill="1" applyBorder="1" applyAlignment="1">
      <alignment horizontal="center" vertical="center"/>
    </xf>
    <xf numFmtId="3" fontId="4" fillId="3" borderId="24" xfId="0" applyNumberFormat="1" applyFont="1" applyFill="1" applyBorder="1" applyAlignment="1">
      <alignment horizontal="center"/>
    </xf>
    <xf numFmtId="2" fontId="0" fillId="4" borderId="49" xfId="0" applyNumberFormat="1" applyFont="1" applyFill="1" applyBorder="1" applyAlignment="1">
      <alignment horizontal="center"/>
    </xf>
    <xf numFmtId="2" fontId="0" fillId="16" borderId="22" xfId="0" applyNumberFormat="1" applyFont="1" applyFill="1" applyBorder="1" applyAlignment="1">
      <alignment horizontal="center"/>
    </xf>
    <xf numFmtId="2" fontId="0" fillId="4" borderId="22" xfId="0" applyNumberFormat="1" applyFont="1" applyFill="1" applyBorder="1" applyAlignment="1">
      <alignment horizontal="center"/>
    </xf>
    <xf numFmtId="9" fontId="0" fillId="4" borderId="50" xfId="1" applyNumberFormat="1" applyFont="1" applyFill="1" applyBorder="1" applyAlignment="1">
      <alignment horizontal="center"/>
    </xf>
    <xf numFmtId="49" fontId="0" fillId="14" borderId="10" xfId="0" applyNumberFormat="1" applyFont="1" applyFill="1" applyBorder="1" applyAlignment="1">
      <alignment horizontal="left"/>
    </xf>
    <xf numFmtId="2" fontId="0" fillId="8" borderId="45" xfId="0" applyNumberFormat="1" applyFont="1" applyFill="1" applyBorder="1" applyAlignment="1">
      <alignment horizontal="center"/>
    </xf>
    <xf numFmtId="2" fontId="0" fillId="8" borderId="33" xfId="0" applyNumberFormat="1" applyFont="1" applyFill="1" applyBorder="1" applyAlignment="1">
      <alignment horizontal="center"/>
    </xf>
    <xf numFmtId="2" fontId="0" fillId="18" borderId="7" xfId="0" applyNumberFormat="1" applyFont="1" applyFill="1" applyBorder="1" applyAlignment="1">
      <alignment horizontal="center"/>
    </xf>
    <xf numFmtId="2" fontId="0" fillId="18" borderId="53" xfId="0" applyNumberFormat="1" applyFont="1" applyFill="1" applyBorder="1" applyAlignment="1">
      <alignment horizontal="center"/>
    </xf>
    <xf numFmtId="2" fontId="0" fillId="8" borderId="7" xfId="0" applyNumberFormat="1" applyFont="1" applyFill="1" applyBorder="1" applyAlignment="1">
      <alignment horizontal="center"/>
    </xf>
    <xf numFmtId="0" fontId="4" fillId="7" borderId="61" xfId="0" applyFont="1" applyFill="1" applyBorder="1" applyAlignment="1">
      <alignment horizontal="left"/>
    </xf>
    <xf numFmtId="0" fontId="4" fillId="7" borderId="61" xfId="0" applyFont="1" applyFill="1" applyBorder="1" applyAlignment="1">
      <alignment horizontal="center"/>
    </xf>
    <xf numFmtId="2" fontId="0" fillId="18" borderId="55" xfId="0" applyNumberFormat="1" applyFont="1" applyFill="1" applyBorder="1" applyAlignment="1">
      <alignment horizontal="center"/>
    </xf>
    <xf numFmtId="2" fontId="0" fillId="18" borderId="57" xfId="0" applyNumberFormat="1" applyFont="1" applyFill="1" applyBorder="1" applyAlignment="1">
      <alignment horizontal="center"/>
    </xf>
    <xf numFmtId="2" fontId="0" fillId="4" borderId="7" xfId="0" applyNumberFormat="1" applyFont="1" applyFill="1" applyBorder="1" applyAlignment="1">
      <alignment horizontal="center"/>
    </xf>
    <xf numFmtId="2" fontId="0" fillId="4" borderId="45" xfId="0" applyNumberFormat="1" applyFont="1" applyFill="1" applyBorder="1" applyAlignment="1">
      <alignment horizontal="center"/>
    </xf>
    <xf numFmtId="2" fontId="0" fillId="16" borderId="46" xfId="0" applyNumberFormat="1" applyFont="1" applyFill="1" applyBorder="1" applyAlignment="1">
      <alignment horizontal="center"/>
    </xf>
    <xf numFmtId="10" fontId="0" fillId="4" borderId="53" xfId="1" applyNumberFormat="1" applyFont="1" applyFill="1" applyBorder="1" applyAlignment="1">
      <alignment horizontal="right"/>
    </xf>
    <xf numFmtId="10" fontId="0" fillId="8" borderId="53" xfId="1" applyNumberFormat="1" applyFont="1" applyFill="1" applyBorder="1" applyAlignment="1">
      <alignment horizontal="right"/>
    </xf>
    <xf numFmtId="0" fontId="4" fillId="7" borderId="18" xfId="0" applyFont="1" applyFill="1" applyBorder="1" applyAlignment="1">
      <alignment horizontal="left"/>
    </xf>
    <xf numFmtId="0" fontId="4" fillId="7" borderId="18" xfId="0" applyFont="1" applyFill="1" applyBorder="1" applyAlignment="1">
      <alignment horizontal="center"/>
    </xf>
    <xf numFmtId="1" fontId="0" fillId="8" borderId="51" xfId="0" applyNumberFormat="1" applyFont="1" applyFill="1" applyBorder="1" applyAlignment="1">
      <alignment horizontal="center"/>
    </xf>
    <xf numFmtId="9" fontId="0" fillId="8" borderId="58" xfId="1" applyNumberFormat="1" applyFont="1" applyFill="1" applyBorder="1" applyAlignment="1">
      <alignment horizontal="center"/>
    </xf>
    <xf numFmtId="1" fontId="0" fillId="4" borderId="51" xfId="0" applyNumberFormat="1" applyFont="1" applyFill="1" applyBorder="1" applyAlignment="1">
      <alignment horizontal="center"/>
    </xf>
    <xf numFmtId="1" fontId="0" fillId="16" borderId="52" xfId="0" applyNumberFormat="1" applyFont="1" applyFill="1" applyBorder="1" applyAlignment="1">
      <alignment horizontal="center"/>
    </xf>
    <xf numFmtId="1" fontId="0" fillId="4" borderId="17" xfId="0" applyNumberFormat="1" applyFont="1" applyFill="1" applyBorder="1" applyAlignment="1">
      <alignment horizontal="center"/>
    </xf>
    <xf numFmtId="10" fontId="0" fillId="4" borderId="58" xfId="1" applyNumberFormat="1" applyFont="1" applyFill="1" applyBorder="1" applyAlignment="1">
      <alignment horizontal="center"/>
    </xf>
    <xf numFmtId="1" fontId="0" fillId="14" borderId="20" xfId="0" applyNumberFormat="1" applyFont="1" applyFill="1" applyBorder="1" applyAlignment="1">
      <alignment horizontal="left"/>
    </xf>
    <xf numFmtId="3" fontId="4" fillId="7" borderId="62" xfId="0" applyNumberFormat="1" applyFont="1" applyFill="1" applyBorder="1" applyAlignment="1">
      <alignment horizontal="center"/>
    </xf>
    <xf numFmtId="3" fontId="4" fillId="7" borderId="19" xfId="0" applyNumberFormat="1" applyFont="1" applyFill="1" applyBorder="1" applyAlignment="1">
      <alignment horizontal="center"/>
    </xf>
    <xf numFmtId="2" fontId="0" fillId="18" borderId="46" xfId="0" applyNumberFormat="1" applyFont="1" applyFill="1" applyBorder="1" applyAlignment="1">
      <alignment horizontal="center"/>
    </xf>
    <xf numFmtId="10" fontId="0" fillId="4" borderId="53" xfId="1" applyNumberFormat="1" applyFont="1" applyFill="1" applyBorder="1" applyAlignment="1">
      <alignment horizontal="center"/>
    </xf>
    <xf numFmtId="10" fontId="0" fillId="8" borderId="53" xfId="1" applyNumberFormat="1" applyFont="1" applyFill="1" applyBorder="1" applyAlignment="1">
      <alignment horizontal="center"/>
    </xf>
    <xf numFmtId="2" fontId="0" fillId="4" borderId="17" xfId="0" applyNumberFormat="1" applyFont="1" applyFill="1" applyBorder="1" applyAlignment="1">
      <alignment horizontal="center"/>
    </xf>
    <xf numFmtId="0" fontId="4" fillId="7" borderId="31" xfId="0" applyFont="1" applyFill="1" applyBorder="1" applyAlignment="1">
      <alignment horizontal="center" vertical="center"/>
    </xf>
    <xf numFmtId="166" fontId="0" fillId="8" borderId="70" xfId="0" applyNumberFormat="1" applyFont="1" applyFill="1" applyBorder="1" applyAlignment="1">
      <alignment horizontal="center" vertical="center"/>
    </xf>
    <xf numFmtId="166" fontId="0" fillId="8" borderId="82" xfId="0" applyNumberFormat="1" applyFont="1" applyFill="1" applyBorder="1" applyAlignment="1">
      <alignment horizontal="center" vertical="center"/>
    </xf>
    <xf numFmtId="2" fontId="0" fillId="8" borderId="59" xfId="0" applyNumberFormat="1" applyFont="1" applyFill="1" applyBorder="1" applyAlignment="1">
      <alignment horizontal="center" vertical="center"/>
    </xf>
    <xf numFmtId="0" fontId="3" fillId="7" borderId="31" xfId="0" applyFont="1" applyFill="1" applyBorder="1" applyAlignment="1">
      <alignment horizontal="center" vertical="center"/>
    </xf>
    <xf numFmtId="0" fontId="3" fillId="7" borderId="17" xfId="0" applyFont="1" applyFill="1" applyBorder="1" applyAlignment="1">
      <alignment horizontal="center" vertical="center"/>
    </xf>
    <xf numFmtId="166" fontId="0" fillId="10" borderId="45" xfId="0" applyNumberFormat="1" applyFont="1" applyFill="1" applyBorder="1" applyAlignment="1">
      <alignment horizontal="center" vertical="center"/>
    </xf>
    <xf numFmtId="166" fontId="0" fillId="10" borderId="33" xfId="0" applyNumberFormat="1" applyFont="1" applyFill="1" applyBorder="1" applyAlignment="1">
      <alignment horizontal="center" vertical="center"/>
    </xf>
    <xf numFmtId="166" fontId="0" fillId="23" borderId="33" xfId="0" applyNumberFormat="1" applyFont="1" applyFill="1" applyBorder="1" applyAlignment="1">
      <alignment horizontal="center" vertical="center"/>
    </xf>
    <xf numFmtId="166" fontId="0" fillId="23" borderId="45" xfId="0" applyNumberFormat="1" applyFont="1" applyFill="1" applyBorder="1" applyAlignment="1">
      <alignment horizontal="center" vertical="center"/>
    </xf>
    <xf numFmtId="0" fontId="4" fillId="9" borderId="7" xfId="0" applyFont="1" applyFill="1" applyBorder="1" applyAlignment="1">
      <alignment horizontal="center" vertical="center"/>
    </xf>
    <xf numFmtId="166" fontId="0" fillId="10" borderId="56" xfId="0" applyNumberFormat="1" applyFont="1" applyFill="1" applyBorder="1" applyAlignment="1">
      <alignment horizontal="center" vertical="center"/>
    </xf>
    <xf numFmtId="166" fontId="0" fillId="10" borderId="70" xfId="0" applyNumberFormat="1" applyFont="1" applyFill="1" applyBorder="1" applyAlignment="1">
      <alignment horizontal="center" vertical="center"/>
    </xf>
    <xf numFmtId="0" fontId="4" fillId="7" borderId="6" xfId="0" applyFont="1" applyFill="1" applyBorder="1" applyAlignment="1">
      <alignment horizontal="center"/>
    </xf>
    <xf numFmtId="0" fontId="4" fillId="7" borderId="9" xfId="0" applyFont="1" applyFill="1" applyBorder="1" applyAlignment="1">
      <alignment horizontal="center"/>
    </xf>
    <xf numFmtId="3" fontId="4" fillId="7" borderId="46" xfId="0" applyNumberFormat="1" applyFont="1" applyFill="1" applyBorder="1" applyAlignment="1">
      <alignment horizontal="center"/>
    </xf>
    <xf numFmtId="2" fontId="0" fillId="8" borderId="9" xfId="0" applyNumberFormat="1" applyFont="1" applyFill="1" applyBorder="1" applyAlignment="1">
      <alignment horizontal="center"/>
    </xf>
    <xf numFmtId="0" fontId="4" fillId="7" borderId="16" xfId="0" applyFont="1" applyFill="1" applyBorder="1" applyAlignment="1">
      <alignment horizontal="center"/>
    </xf>
    <xf numFmtId="0" fontId="4" fillId="7" borderId="18" xfId="0" applyFont="1" applyFill="1" applyBorder="1" applyAlignment="1">
      <alignment horizontal="left" wrapText="1"/>
    </xf>
    <xf numFmtId="0" fontId="4" fillId="7" borderId="19" xfId="0" applyFont="1" applyFill="1" applyBorder="1" applyAlignment="1">
      <alignment horizontal="center"/>
    </xf>
    <xf numFmtId="3" fontId="4" fillId="7" borderId="52" xfId="0" applyNumberFormat="1" applyFont="1" applyFill="1" applyBorder="1" applyAlignment="1">
      <alignment horizontal="center"/>
    </xf>
    <xf numFmtId="2" fontId="0" fillId="8" borderId="17" xfId="0" applyNumberFormat="1" applyFont="1" applyFill="1" applyBorder="1" applyAlignment="1">
      <alignment horizontal="center"/>
    </xf>
    <xf numFmtId="2" fontId="0" fillId="8" borderId="19" xfId="0" applyNumberFormat="1" applyFont="1" applyFill="1" applyBorder="1" applyAlignment="1">
      <alignment horizontal="center"/>
    </xf>
    <xf numFmtId="0" fontId="3" fillId="15" borderId="1" xfId="0" applyFont="1" applyFill="1" applyBorder="1" applyAlignment="1">
      <alignment horizontal="left" vertical="center" indent="1"/>
    </xf>
    <xf numFmtId="4" fontId="3" fillId="15" borderId="3" xfId="0" applyNumberFormat="1" applyFont="1" applyFill="1" applyBorder="1" applyAlignment="1">
      <alignment horizontal="center" vertical="center"/>
    </xf>
    <xf numFmtId="4" fontId="3" fillId="15" borderId="4" xfId="0" applyNumberFormat="1" applyFont="1" applyFill="1" applyBorder="1" applyAlignment="1">
      <alignment horizontal="center" vertical="center"/>
    </xf>
    <xf numFmtId="0" fontId="3" fillId="15" borderId="43" xfId="0" applyFont="1" applyFill="1" applyBorder="1" applyAlignment="1">
      <alignment horizontal="center" vertical="center"/>
    </xf>
    <xf numFmtId="4" fontId="3" fillId="15" borderId="2" xfId="0" applyNumberFormat="1" applyFont="1" applyFill="1" applyBorder="1" applyAlignment="1">
      <alignment horizontal="center" vertical="center"/>
    </xf>
    <xf numFmtId="1" fontId="2" fillId="5" borderId="43" xfId="0" applyNumberFormat="1" applyFont="1" applyFill="1" applyBorder="1" applyAlignment="1">
      <alignment horizontal="center" vertical="center"/>
    </xf>
    <xf numFmtId="4" fontId="3" fillId="15" borderId="54" xfId="0" applyNumberFormat="1" applyFont="1" applyFill="1" applyBorder="1" applyAlignment="1">
      <alignment horizontal="center" vertical="center"/>
    </xf>
    <xf numFmtId="4" fontId="3" fillId="15" borderId="83" xfId="0" applyNumberFormat="1" applyFont="1" applyFill="1" applyBorder="1" applyAlignment="1">
      <alignment horizontal="center" vertical="center"/>
    </xf>
    <xf numFmtId="2" fontId="0" fillId="8" borderId="84" xfId="0" applyNumberFormat="1" applyFont="1" applyFill="1" applyBorder="1" applyAlignment="1">
      <alignment horizontal="center"/>
    </xf>
    <xf numFmtId="2" fontId="0" fillId="8" borderId="85" xfId="0" applyNumberFormat="1" applyFont="1" applyFill="1" applyBorder="1" applyAlignment="1">
      <alignment horizontal="center"/>
    </xf>
    <xf numFmtId="1" fontId="2" fillId="5" borderId="43" xfId="0" applyNumberFormat="1" applyFont="1" applyFill="1" applyBorder="1" applyAlignment="1">
      <alignment horizontal="center" vertical="center"/>
    </xf>
    <xf numFmtId="10" fontId="0" fillId="4" borderId="58" xfId="1" applyNumberFormat="1" applyFont="1" applyFill="1" applyBorder="1" applyAlignment="1">
      <alignment horizontal="right"/>
    </xf>
    <xf numFmtId="1" fontId="0" fillId="14" borderId="16" xfId="0" applyNumberFormat="1" applyFont="1" applyFill="1" applyBorder="1" applyAlignment="1">
      <alignment horizontal="center" vertical="center"/>
    </xf>
    <xf numFmtId="1" fontId="0" fillId="14" borderId="52" xfId="0" applyNumberFormat="1" applyFont="1" applyFill="1" applyBorder="1" applyAlignment="1">
      <alignment horizontal="left" vertical="center" indent="1"/>
    </xf>
    <xf numFmtId="0" fontId="4" fillId="7" borderId="30" xfId="0" applyFont="1" applyFill="1" applyBorder="1" applyAlignment="1">
      <alignment horizontal="center" vertical="center"/>
    </xf>
    <xf numFmtId="0" fontId="4" fillId="7" borderId="27" xfId="0" applyFont="1" applyFill="1" applyBorder="1" applyAlignment="1">
      <alignment horizontal="left"/>
    </xf>
    <xf numFmtId="0" fontId="4" fillId="7" borderId="27" xfId="0" applyFont="1" applyFill="1" applyBorder="1" applyAlignment="1">
      <alignment horizontal="center"/>
    </xf>
    <xf numFmtId="3" fontId="4" fillId="7" borderId="26" xfId="0" applyNumberFormat="1" applyFont="1" applyFill="1" applyBorder="1" applyAlignment="1">
      <alignment horizontal="center"/>
    </xf>
    <xf numFmtId="2" fontId="0" fillId="18" borderId="31" xfId="0" applyNumberFormat="1" applyFont="1" applyFill="1" applyBorder="1" applyAlignment="1">
      <alignment horizontal="center"/>
    </xf>
    <xf numFmtId="2" fontId="0" fillId="18" borderId="59" xfId="0" applyNumberFormat="1" applyFont="1" applyFill="1" applyBorder="1" applyAlignment="1">
      <alignment horizontal="center"/>
    </xf>
    <xf numFmtId="164" fontId="0" fillId="8" borderId="45" xfId="0" applyNumberFormat="1" applyFont="1" applyFill="1" applyBorder="1" applyAlignment="1">
      <alignment horizontal="center"/>
    </xf>
    <xf numFmtId="164" fontId="4" fillId="7" borderId="62" xfId="0" applyNumberFormat="1" applyFont="1" applyFill="1" applyBorder="1" applyAlignment="1">
      <alignment horizontal="center"/>
    </xf>
    <xf numFmtId="168" fontId="4" fillId="3" borderId="24" xfId="0" applyNumberFormat="1" applyFont="1" applyFill="1" applyBorder="1" applyAlignment="1">
      <alignment horizontal="center"/>
    </xf>
    <xf numFmtId="168" fontId="0" fillId="8" borderId="45" xfId="0" applyNumberFormat="1" applyFont="1" applyFill="1" applyBorder="1" applyAlignment="1">
      <alignment horizontal="center"/>
    </xf>
    <xf numFmtId="168" fontId="0" fillId="8" borderId="56" xfId="0" applyNumberFormat="1" applyFont="1" applyFill="1" applyBorder="1" applyAlignment="1">
      <alignment horizontal="center"/>
    </xf>
    <xf numFmtId="10" fontId="0" fillId="4" borderId="50" xfId="1" applyNumberFormat="1" applyFont="1" applyFill="1" applyBorder="1" applyAlignment="1">
      <alignment horizontal="center"/>
    </xf>
    <xf numFmtId="0" fontId="4" fillId="7" borderId="23" xfId="0" applyFont="1" applyFill="1" applyBorder="1" applyAlignment="1">
      <alignment horizontal="left"/>
    </xf>
    <xf numFmtId="0" fontId="4" fillId="7" borderId="23" xfId="0" applyFont="1" applyFill="1" applyBorder="1" applyAlignment="1">
      <alignment horizontal="center"/>
    </xf>
    <xf numFmtId="3" fontId="4" fillId="7" borderId="24" xfId="0" applyNumberFormat="1" applyFont="1" applyFill="1" applyBorder="1" applyAlignment="1">
      <alignment horizontal="center"/>
    </xf>
    <xf numFmtId="2" fontId="0" fillId="18" borderId="22" xfId="0" applyNumberFormat="1" applyFont="1" applyFill="1" applyBorder="1" applyAlignment="1">
      <alignment horizontal="center"/>
    </xf>
    <xf numFmtId="2" fontId="0" fillId="18" borderId="50" xfId="0" applyNumberFormat="1" applyFont="1" applyFill="1" applyBorder="1" applyAlignment="1">
      <alignment horizontal="center"/>
    </xf>
    <xf numFmtId="2" fontId="0" fillId="18" borderId="17" xfId="0" applyNumberFormat="1" applyFont="1" applyFill="1" applyBorder="1" applyAlignment="1">
      <alignment horizontal="center"/>
    </xf>
    <xf numFmtId="2" fontId="0" fillId="18" borderId="58" xfId="0" applyNumberFormat="1" applyFont="1" applyFill="1" applyBorder="1" applyAlignment="1">
      <alignment horizontal="center"/>
    </xf>
    <xf numFmtId="2" fontId="0" fillId="8" borderId="6" xfId="0" applyNumberFormat="1" applyFill="1" applyBorder="1" applyAlignment="1">
      <alignment horizontal="left" vertical="center"/>
    </xf>
    <xf numFmtId="1" fontId="2" fillId="5" borderId="54" xfId="0" applyNumberFormat="1" applyFont="1" applyFill="1" applyBorder="1" applyAlignment="1">
      <alignment horizontal="center" vertical="center"/>
    </xf>
    <xf numFmtId="1" fontId="2" fillId="5" borderId="43" xfId="0" applyNumberFormat="1" applyFont="1" applyFill="1" applyBorder="1" applyAlignment="1">
      <alignment horizontal="center" vertical="center"/>
    </xf>
    <xf numFmtId="164" fontId="0" fillId="24" borderId="45" xfId="0" applyNumberFormat="1" applyFont="1" applyFill="1" applyBorder="1" applyAlignment="1">
      <alignment horizontal="center"/>
    </xf>
    <xf numFmtId="0" fontId="4" fillId="7" borderId="37" xfId="0" applyFont="1" applyFill="1" applyBorder="1" applyAlignment="1">
      <alignment horizontal="center" vertical="center"/>
    </xf>
    <xf numFmtId="0" fontId="4" fillId="7" borderId="39" xfId="0" applyFont="1" applyFill="1" applyBorder="1" applyAlignment="1">
      <alignment horizontal="left"/>
    </xf>
    <xf numFmtId="0" fontId="4" fillId="7" borderId="39" xfId="0" applyFont="1" applyFill="1" applyBorder="1" applyAlignment="1">
      <alignment horizontal="center"/>
    </xf>
    <xf numFmtId="3" fontId="4" fillId="7" borderId="40" xfId="0" applyNumberFormat="1" applyFont="1" applyFill="1" applyBorder="1" applyAlignment="1">
      <alignment horizontal="center"/>
    </xf>
    <xf numFmtId="164" fontId="0" fillId="8" borderId="86" xfId="0" applyNumberFormat="1" applyFont="1" applyFill="1" applyBorder="1" applyAlignment="1">
      <alignment horizontal="center"/>
    </xf>
    <xf numFmtId="164" fontId="0" fillId="24" borderId="86" xfId="0" applyNumberFormat="1" applyFont="1" applyFill="1" applyBorder="1" applyAlignment="1">
      <alignment horizontal="center"/>
    </xf>
    <xf numFmtId="2" fontId="0" fillId="18" borderId="87" xfId="0" applyNumberFormat="1" applyFont="1" applyFill="1" applyBorder="1" applyAlignment="1">
      <alignment horizontal="center"/>
    </xf>
    <xf numFmtId="2" fontId="0" fillId="8" borderId="38" xfId="0" applyNumberFormat="1" applyFont="1" applyFill="1" applyBorder="1" applyAlignment="1">
      <alignment horizontal="center"/>
    </xf>
    <xf numFmtId="2" fontId="0" fillId="8" borderId="86" xfId="0" applyNumberFormat="1" applyFont="1" applyFill="1" applyBorder="1" applyAlignment="1">
      <alignment horizontal="center"/>
    </xf>
    <xf numFmtId="9" fontId="0" fillId="8" borderId="87" xfId="1" applyNumberFormat="1" applyFont="1" applyFill="1" applyBorder="1" applyAlignment="1">
      <alignment horizontal="center"/>
    </xf>
    <xf numFmtId="0" fontId="4" fillId="7" borderId="88" xfId="0" applyFont="1" applyFill="1" applyBorder="1" applyAlignment="1">
      <alignment horizontal="center" vertical="center"/>
    </xf>
    <xf numFmtId="0" fontId="4" fillId="7" borderId="41" xfId="0" applyFont="1" applyFill="1" applyBorder="1" applyAlignment="1">
      <alignment horizontal="left"/>
    </xf>
    <xf numFmtId="0" fontId="4" fillId="7" borderId="41" xfId="0" applyFont="1" applyFill="1" applyBorder="1" applyAlignment="1">
      <alignment horizontal="center"/>
    </xf>
    <xf numFmtId="3" fontId="4" fillId="7" borderId="89" xfId="0" applyNumberFormat="1" applyFont="1" applyFill="1" applyBorder="1" applyAlignment="1">
      <alignment horizontal="center"/>
    </xf>
    <xf numFmtId="164" fontId="0" fillId="8" borderId="90" xfId="0" applyNumberFormat="1" applyFont="1" applyFill="1" applyBorder="1" applyAlignment="1">
      <alignment horizontal="center"/>
    </xf>
    <xf numFmtId="2" fontId="0" fillId="18" borderId="92" xfId="0" applyNumberFormat="1" applyFont="1" applyFill="1" applyBorder="1" applyAlignment="1">
      <alignment horizontal="center"/>
    </xf>
    <xf numFmtId="2" fontId="0" fillId="8" borderId="91" xfId="0" applyNumberFormat="1" applyFont="1" applyFill="1" applyBorder="1" applyAlignment="1">
      <alignment horizontal="center"/>
    </xf>
    <xf numFmtId="2" fontId="0" fillId="8" borderId="90" xfId="0" applyNumberFormat="1" applyFont="1" applyFill="1" applyBorder="1" applyAlignment="1">
      <alignment horizontal="center"/>
    </xf>
    <xf numFmtId="9" fontId="0" fillId="8" borderId="92" xfId="1" applyNumberFormat="1" applyFont="1" applyFill="1" applyBorder="1" applyAlignment="1">
      <alignment horizontal="center"/>
    </xf>
    <xf numFmtId="164" fontId="0" fillId="8" borderId="51" xfId="0" applyNumberFormat="1" applyFont="1" applyFill="1" applyBorder="1" applyAlignment="1">
      <alignment horizontal="center"/>
    </xf>
    <xf numFmtId="164" fontId="0" fillId="24" borderId="51" xfId="0" applyNumberFormat="1" applyFont="1" applyFill="1" applyBorder="1" applyAlignment="1">
      <alignment horizontal="center"/>
    </xf>
    <xf numFmtId="168" fontId="4" fillId="3" borderId="9" xfId="0" applyNumberFormat="1" applyFont="1" applyFill="1" applyBorder="1" applyAlignment="1">
      <alignment horizontal="center"/>
    </xf>
    <xf numFmtId="164" fontId="0" fillId="24" borderId="93" xfId="0" applyNumberFormat="1" applyFont="1" applyFill="1" applyBorder="1" applyAlignment="1">
      <alignment horizontal="center"/>
    </xf>
    <xf numFmtId="164" fontId="0" fillId="24" borderId="75" xfId="0" applyNumberFormat="1" applyFont="1" applyFill="1" applyBorder="1" applyAlignment="1">
      <alignment horizontal="center"/>
    </xf>
    <xf numFmtId="168" fontId="0" fillId="8" borderId="70" xfId="0" applyNumberFormat="1" applyFont="1" applyFill="1" applyBorder="1" applyAlignment="1">
      <alignment horizontal="center"/>
    </xf>
    <xf numFmtId="168" fontId="0" fillId="25" borderId="45" xfId="0" applyNumberFormat="1" applyFont="1" applyFill="1" applyBorder="1" applyAlignment="1">
      <alignment horizontal="center"/>
    </xf>
    <xf numFmtId="168" fontId="0" fillId="25" borderId="56" xfId="0" applyNumberFormat="1" applyFont="1" applyFill="1" applyBorder="1" applyAlignment="1">
      <alignment horizontal="center"/>
    </xf>
    <xf numFmtId="168" fontId="0" fillId="25" borderId="70" xfId="0" applyNumberFormat="1" applyFont="1" applyFill="1" applyBorder="1" applyAlignment="1">
      <alignment horizontal="center"/>
    </xf>
    <xf numFmtId="0" fontId="4" fillId="7" borderId="79" xfId="0" applyFont="1" applyFill="1" applyBorder="1" applyAlignment="1">
      <alignment horizontal="center" vertical="center"/>
    </xf>
    <xf numFmtId="0" fontId="4" fillId="7" borderId="0" xfId="0" applyFont="1" applyFill="1" applyBorder="1" applyAlignment="1">
      <alignment horizontal="left"/>
    </xf>
    <xf numFmtId="0" fontId="4" fillId="7" borderId="0" xfId="0" applyFont="1" applyFill="1" applyBorder="1" applyAlignment="1">
      <alignment horizontal="center"/>
    </xf>
    <xf numFmtId="3" fontId="4" fillId="7" borderId="78" xfId="0" applyNumberFormat="1" applyFont="1" applyFill="1" applyBorder="1" applyAlignment="1">
      <alignment horizontal="center"/>
    </xf>
    <xf numFmtId="164" fontId="0" fillId="24" borderId="94" xfId="0" applyNumberFormat="1" applyFont="1" applyFill="1" applyBorder="1" applyAlignment="1">
      <alignment horizontal="center"/>
    </xf>
    <xf numFmtId="2" fontId="0" fillId="18" borderId="95" xfId="0" applyNumberFormat="1" applyFont="1" applyFill="1" applyBorder="1" applyAlignment="1">
      <alignment horizontal="center"/>
    </xf>
    <xf numFmtId="2" fontId="0" fillId="18" borderId="96" xfId="0" applyNumberFormat="1" applyFont="1" applyFill="1" applyBorder="1" applyAlignment="1">
      <alignment horizontal="center"/>
    </xf>
    <xf numFmtId="164" fontId="0" fillId="24" borderId="49" xfId="0" applyNumberFormat="1" applyFont="1" applyFill="1" applyBorder="1" applyAlignment="1">
      <alignment horizontal="center"/>
    </xf>
    <xf numFmtId="164" fontId="4" fillId="3" borderId="24" xfId="0" applyNumberFormat="1" applyFont="1" applyFill="1" applyBorder="1" applyAlignment="1">
      <alignment horizontal="center"/>
    </xf>
    <xf numFmtId="164" fontId="0" fillId="4" borderId="49" xfId="0" applyNumberFormat="1" applyFont="1" applyFill="1" applyBorder="1" applyAlignment="1">
      <alignment horizontal="center"/>
    </xf>
    <xf numFmtId="164" fontId="0" fillId="25" borderId="45" xfId="0" applyNumberFormat="1" applyFont="1" applyFill="1" applyBorder="1" applyAlignment="1">
      <alignment horizontal="center"/>
    </xf>
    <xf numFmtId="164" fontId="0" fillId="25" borderId="51" xfId="0" applyNumberFormat="1" applyFont="1" applyFill="1" applyBorder="1" applyAlignment="1">
      <alignment horizontal="center"/>
    </xf>
    <xf numFmtId="164" fontId="0" fillId="8" borderId="94" xfId="0" applyNumberFormat="1" applyFont="1" applyFill="1" applyBorder="1" applyAlignment="1">
      <alignment horizontal="center"/>
    </xf>
    <xf numFmtId="164" fontId="0" fillId="25" borderId="94" xfId="0" applyNumberFormat="1" applyFont="1" applyFill="1" applyBorder="1" applyAlignment="1">
      <alignment horizontal="center"/>
    </xf>
    <xf numFmtId="164" fontId="0" fillId="8" borderId="49" xfId="0" applyNumberFormat="1" applyFont="1" applyFill="1" applyBorder="1" applyAlignment="1">
      <alignment horizontal="center"/>
    </xf>
    <xf numFmtId="164" fontId="0" fillId="25" borderId="49" xfId="0" applyNumberFormat="1" applyFont="1" applyFill="1" applyBorder="1" applyAlignment="1">
      <alignment horizontal="center"/>
    </xf>
    <xf numFmtId="164" fontId="0" fillId="4" borderId="45" xfId="0" applyNumberFormat="1" applyFont="1" applyFill="1" applyBorder="1" applyAlignment="1">
      <alignment horizontal="center"/>
    </xf>
    <xf numFmtId="0" fontId="3" fillId="7" borderId="6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3" borderId="23" xfId="0" applyFont="1" applyFill="1" applyBorder="1" applyAlignment="1">
      <alignment horizontal="left"/>
    </xf>
    <xf numFmtId="0" fontId="3" fillId="7" borderId="21" xfId="0" applyFont="1" applyFill="1" applyBorder="1" applyAlignment="1">
      <alignment horizontal="center" vertical="center"/>
    </xf>
    <xf numFmtId="1" fontId="2" fillId="5" borderId="43" xfId="0" applyNumberFormat="1" applyFont="1" applyFill="1" applyBorder="1" applyAlignment="1">
      <alignment horizontal="center" vertical="center"/>
    </xf>
    <xf numFmtId="1" fontId="9" fillId="14" borderId="9" xfId="0" applyNumberFormat="1" applyFont="1" applyFill="1" applyBorder="1" applyAlignment="1">
      <alignment horizontal="center" vertical="center" wrapText="1"/>
    </xf>
    <xf numFmtId="0" fontId="5" fillId="7" borderId="79" xfId="0" applyFont="1" applyFill="1" applyBorder="1" applyAlignment="1">
      <alignment horizontal="right" vertical="center"/>
    </xf>
    <xf numFmtId="3" fontId="4" fillId="7" borderId="95" xfId="0" applyNumberFormat="1" applyFont="1" applyFill="1" applyBorder="1" applyAlignment="1">
      <alignment horizontal="center" vertical="center"/>
    </xf>
    <xf numFmtId="2" fontId="0" fillId="8" borderId="0" xfId="0" applyNumberFormat="1" applyFill="1" applyBorder="1" applyAlignment="1">
      <alignment horizontal="center" vertical="center"/>
    </xf>
    <xf numFmtId="0" fontId="0" fillId="8" borderId="0" xfId="0" applyFill="1" applyBorder="1" applyAlignment="1">
      <alignment horizontal="center" vertical="center"/>
    </xf>
    <xf numFmtId="0" fontId="0" fillId="8" borderId="78" xfId="0" applyFill="1" applyBorder="1" applyAlignment="1">
      <alignment horizontal="center" vertical="center"/>
    </xf>
    <xf numFmtId="0" fontId="0" fillId="8" borderId="72" xfId="0" applyFill="1" applyBorder="1" applyAlignment="1">
      <alignment horizontal="left" vertical="center"/>
    </xf>
    <xf numFmtId="0" fontId="5" fillId="7" borderId="11" xfId="0" applyFont="1" applyFill="1" applyBorder="1" applyAlignment="1">
      <alignment horizontal="right" vertical="center"/>
    </xf>
    <xf numFmtId="3" fontId="4" fillId="7" borderId="12" xfId="0" applyNumberFormat="1" applyFont="1" applyFill="1" applyBorder="1" applyAlignment="1">
      <alignment horizontal="center" vertical="center"/>
    </xf>
    <xf numFmtId="2" fontId="0" fillId="8" borderId="13" xfId="0" applyNumberFormat="1" applyFill="1" applyBorder="1" applyAlignment="1">
      <alignment horizontal="center" vertical="center"/>
    </xf>
    <xf numFmtId="0" fontId="0" fillId="8" borderId="13" xfId="0" applyFill="1" applyBorder="1" applyAlignment="1">
      <alignment horizontal="center" vertical="center"/>
    </xf>
    <xf numFmtId="0" fontId="0" fillId="8" borderId="14" xfId="0" applyFill="1" applyBorder="1" applyAlignment="1">
      <alignment horizontal="center" vertical="center"/>
    </xf>
    <xf numFmtId="0" fontId="0" fillId="8" borderId="15" xfId="0" applyFill="1" applyBorder="1" applyAlignment="1">
      <alignment horizontal="left" vertical="center"/>
    </xf>
    <xf numFmtId="0" fontId="0" fillId="8" borderId="20" xfId="0" applyFill="1" applyBorder="1" applyAlignment="1">
      <alignment horizontal="left" vertical="center"/>
    </xf>
    <xf numFmtId="1" fontId="0" fillId="14" borderId="1" xfId="0" applyNumberFormat="1" applyFont="1" applyFill="1" applyBorder="1" applyAlignment="1">
      <alignment horizontal="left" vertical="center"/>
    </xf>
    <xf numFmtId="1" fontId="0" fillId="14" borderId="43" xfId="0" applyNumberFormat="1" applyFont="1" applyFill="1" applyBorder="1" applyAlignment="1">
      <alignment horizontal="left" vertical="center"/>
    </xf>
    <xf numFmtId="2" fontId="0" fillId="8" borderId="5" xfId="0" applyNumberFormat="1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left" vertical="center" wrapText="1"/>
    </xf>
    <xf numFmtId="0" fontId="4" fillId="3" borderId="18" xfId="0" applyFont="1" applyFill="1" applyBorder="1" applyAlignment="1">
      <alignment horizontal="center" vertical="center"/>
    </xf>
    <xf numFmtId="3" fontId="4" fillId="3" borderId="19" xfId="0" applyNumberFormat="1" applyFont="1" applyFill="1" applyBorder="1" applyAlignment="1">
      <alignment horizontal="center" vertical="center"/>
    </xf>
    <xf numFmtId="2" fontId="0" fillId="4" borderId="19" xfId="0" applyNumberFormat="1" applyFont="1" applyFill="1" applyBorder="1" applyAlignment="1">
      <alignment horizontal="center" vertical="center"/>
    </xf>
    <xf numFmtId="2" fontId="0" fillId="4" borderId="51" xfId="0" applyNumberFormat="1" applyFont="1" applyFill="1" applyBorder="1" applyAlignment="1">
      <alignment horizontal="center" vertical="center"/>
    </xf>
    <xf numFmtId="2" fontId="0" fillId="16" borderId="52" xfId="0" applyNumberFormat="1" applyFont="1" applyFill="1" applyBorder="1" applyAlignment="1">
      <alignment horizontal="center" vertical="center"/>
    </xf>
    <xf numFmtId="2" fontId="0" fillId="8" borderId="20" xfId="0" applyNumberFormat="1" applyFont="1" applyFill="1" applyBorder="1" applyAlignment="1">
      <alignment horizontal="center" vertical="center"/>
    </xf>
    <xf numFmtId="9" fontId="9" fillId="4" borderId="13" xfId="1" applyFont="1" applyFill="1" applyBorder="1" applyAlignment="1">
      <alignment horizontal="center" vertical="center"/>
    </xf>
    <xf numFmtId="2" fontId="9" fillId="4" borderId="13" xfId="0" applyNumberFormat="1" applyFont="1" applyFill="1" applyBorder="1" applyAlignment="1">
      <alignment horizontal="left" vertical="center" indent="1"/>
    </xf>
    <xf numFmtId="2" fontId="9" fillId="4" borderId="18" xfId="0" applyNumberFormat="1" applyFont="1" applyFill="1" applyBorder="1" applyAlignment="1">
      <alignment horizontal="left" vertical="center" indent="1"/>
    </xf>
    <xf numFmtId="2" fontId="0" fillId="8" borderId="25" xfId="0" applyNumberFormat="1" applyFont="1" applyFill="1" applyBorder="1" applyAlignment="1">
      <alignment horizontal="center" vertical="center"/>
    </xf>
    <xf numFmtId="0" fontId="13" fillId="0" borderId="0" xfId="0" applyFont="1"/>
    <xf numFmtId="0" fontId="13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14" fillId="0" borderId="0" xfId="0" applyFont="1" applyAlignment="1">
      <alignment vertical="center"/>
    </xf>
    <xf numFmtId="0" fontId="14" fillId="0" borderId="104" xfId="0" applyFont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4" fillId="0" borderId="105" xfId="0" applyFont="1" applyBorder="1" applyAlignment="1">
      <alignment vertical="center"/>
    </xf>
    <xf numFmtId="0" fontId="15" fillId="0" borderId="106" xfId="0" applyFont="1" applyBorder="1" applyAlignment="1">
      <alignment horizontal="right" vertical="center"/>
    </xf>
    <xf numFmtId="0" fontId="14" fillId="0" borderId="107" xfId="0" applyFont="1" applyBorder="1" applyAlignment="1">
      <alignment vertical="center" wrapText="1"/>
    </xf>
    <xf numFmtId="0" fontId="14" fillId="0" borderId="107" xfId="0" applyFont="1" applyBorder="1" applyAlignment="1">
      <alignment vertical="center"/>
    </xf>
    <xf numFmtId="0" fontId="14" fillId="0" borderId="108" xfId="0" applyFont="1" applyBorder="1" applyAlignment="1">
      <alignment vertical="center"/>
    </xf>
    <xf numFmtId="0" fontId="15" fillId="0" borderId="16" xfId="0" applyFont="1" applyBorder="1" applyAlignment="1">
      <alignment horizontal="right" vertical="center"/>
    </xf>
    <xf numFmtId="0" fontId="14" fillId="0" borderId="18" xfId="0" applyFont="1" applyBorder="1" applyAlignment="1">
      <alignment vertical="center" wrapText="1"/>
    </xf>
    <xf numFmtId="0" fontId="15" fillId="0" borderId="18" xfId="0" applyFont="1" applyBorder="1" applyAlignment="1">
      <alignment horizontal="right" vertical="center"/>
    </xf>
    <xf numFmtId="0" fontId="16" fillId="26" borderId="1" xfId="0" applyFont="1" applyFill="1" applyBorder="1" applyAlignment="1">
      <alignment horizontal="center" vertical="center"/>
    </xf>
    <xf numFmtId="0" fontId="16" fillId="26" borderId="54" xfId="0" applyFont="1" applyFill="1" applyBorder="1" applyAlignment="1">
      <alignment horizontal="center" vertical="center" wrapText="1"/>
    </xf>
    <xf numFmtId="0" fontId="16" fillId="26" borderId="3" xfId="0" applyFont="1" applyFill="1" applyBorder="1" applyAlignment="1">
      <alignment horizontal="center" vertical="center"/>
    </xf>
    <xf numFmtId="0" fontId="16" fillId="26" borderId="43" xfId="0" applyFont="1" applyFill="1" applyBorder="1" applyAlignment="1">
      <alignment horizontal="center" vertical="center"/>
    </xf>
    <xf numFmtId="0" fontId="17" fillId="27" borderId="98" xfId="0" applyFont="1" applyFill="1" applyBorder="1" applyAlignment="1">
      <alignment horizontal="center" vertical="center"/>
    </xf>
    <xf numFmtId="164" fontId="17" fillId="27" borderId="99" xfId="0" applyNumberFormat="1" applyFont="1" applyFill="1" applyBorder="1" applyAlignment="1">
      <alignment horizontal="center" vertical="center"/>
    </xf>
    <xf numFmtId="0" fontId="18" fillId="28" borderId="98" xfId="0" applyFont="1" applyFill="1" applyBorder="1" applyAlignment="1">
      <alignment horizontal="center" vertical="center"/>
    </xf>
    <xf numFmtId="164" fontId="18" fillId="28" borderId="99" xfId="0" applyNumberFormat="1" applyFont="1" applyFill="1" applyBorder="1" applyAlignment="1">
      <alignment horizontal="center" vertical="center"/>
    </xf>
    <xf numFmtId="0" fontId="14" fillId="0" borderId="109" xfId="0" applyFont="1" applyBorder="1" applyAlignment="1">
      <alignment vertical="center"/>
    </xf>
    <xf numFmtId="0" fontId="14" fillId="0" borderId="110" xfId="0" applyFont="1" applyBorder="1" applyAlignment="1">
      <alignment horizontal="center" vertical="center"/>
    </xf>
    <xf numFmtId="0" fontId="14" fillId="0" borderId="110" xfId="0" applyFont="1" applyBorder="1" applyAlignment="1">
      <alignment horizontal="center" vertical="center" wrapText="1"/>
    </xf>
    <xf numFmtId="0" fontId="14" fillId="0" borderId="110" xfId="0" applyFont="1" applyBorder="1" applyAlignment="1">
      <alignment vertical="center"/>
    </xf>
    <xf numFmtId="0" fontId="14" fillId="0" borderId="111" xfId="0" applyFont="1" applyBorder="1" applyAlignment="1">
      <alignment vertical="center"/>
    </xf>
    <xf numFmtId="2" fontId="14" fillId="0" borderId="100" xfId="0" applyNumberFormat="1" applyFont="1" applyBorder="1" applyAlignment="1">
      <alignment horizontal="center" vertical="center"/>
    </xf>
    <xf numFmtId="2" fontId="14" fillId="0" borderId="112" xfId="0" applyNumberFormat="1" applyFont="1" applyBorder="1" applyAlignment="1">
      <alignment horizontal="center" vertical="center"/>
    </xf>
    <xf numFmtId="0" fontId="16" fillId="26" borderId="42" xfId="0" applyFont="1" applyFill="1" applyBorder="1" applyAlignment="1">
      <alignment horizontal="center" vertical="center"/>
    </xf>
    <xf numFmtId="0" fontId="17" fillId="27" borderId="97" xfId="0" applyFont="1" applyFill="1" applyBorder="1" applyAlignment="1">
      <alignment horizontal="left" vertical="top" wrapText="1"/>
    </xf>
    <xf numFmtId="0" fontId="17" fillId="27" borderId="97" xfId="0" applyFont="1" applyFill="1" applyBorder="1" applyAlignment="1">
      <alignment horizontal="center" vertical="top"/>
    </xf>
    <xf numFmtId="164" fontId="17" fillId="27" borderId="113" xfId="0" applyNumberFormat="1" applyFont="1" applyFill="1" applyBorder="1" applyAlignment="1">
      <alignment horizontal="center" vertical="center"/>
    </xf>
    <xf numFmtId="0" fontId="18" fillId="28" borderId="97" xfId="0" applyFont="1" applyFill="1" applyBorder="1" applyAlignment="1">
      <alignment horizontal="left" vertical="top" wrapText="1"/>
    </xf>
    <xf numFmtId="0" fontId="18" fillId="28" borderId="97" xfId="0" applyFont="1" applyFill="1" applyBorder="1" applyAlignment="1">
      <alignment horizontal="center" vertical="top"/>
    </xf>
    <xf numFmtId="164" fontId="18" fillId="28" borderId="113" xfId="0" applyNumberFormat="1" applyFont="1" applyFill="1" applyBorder="1" applyAlignment="1">
      <alignment horizontal="center" vertical="center"/>
    </xf>
    <xf numFmtId="1" fontId="18" fillId="28" borderId="113" xfId="0" applyNumberFormat="1" applyFont="1" applyFill="1" applyBorder="1" applyAlignment="1">
      <alignment horizontal="center" vertical="center"/>
    </xf>
    <xf numFmtId="1" fontId="19" fillId="28" borderId="99" xfId="0" applyNumberFormat="1" applyFont="1" applyFill="1" applyBorder="1" applyAlignment="1">
      <alignment horizontal="center" vertical="center"/>
    </xf>
    <xf numFmtId="0" fontId="18" fillId="28" borderId="101" xfId="0" applyFont="1" applyFill="1" applyBorder="1" applyAlignment="1">
      <alignment horizontal="center" vertical="center"/>
    </xf>
    <xf numFmtId="0" fontId="18" fillId="28" borderId="102" xfId="0" applyFont="1" applyFill="1" applyBorder="1" applyAlignment="1">
      <alignment horizontal="left" vertical="top" wrapText="1"/>
    </xf>
    <xf numFmtId="0" fontId="18" fillId="28" borderId="102" xfId="0" applyFont="1" applyFill="1" applyBorder="1" applyAlignment="1">
      <alignment horizontal="center" vertical="top"/>
    </xf>
    <xf numFmtId="1" fontId="18" fillId="28" borderId="114" xfId="0" applyNumberFormat="1" applyFont="1" applyFill="1" applyBorder="1" applyAlignment="1">
      <alignment horizontal="center" vertical="center"/>
    </xf>
    <xf numFmtId="1" fontId="19" fillId="28" borderId="103" xfId="0" applyNumberFormat="1" applyFont="1" applyFill="1" applyBorder="1" applyAlignment="1">
      <alignment horizontal="center" vertical="center"/>
    </xf>
    <xf numFmtId="0" fontId="20" fillId="0" borderId="0" xfId="0" applyFont="1" applyAlignment="1">
      <alignment horizontal="left" vertical="center"/>
    </xf>
    <xf numFmtId="0" fontId="18" fillId="4" borderId="1" xfId="0" applyFont="1" applyFill="1" applyBorder="1" applyAlignment="1">
      <alignment horizontal="center" vertical="center"/>
    </xf>
    <xf numFmtId="0" fontId="18" fillId="4" borderId="54" xfId="0" applyFont="1" applyFill="1" applyBorder="1" applyAlignment="1">
      <alignment horizontal="left" vertical="center" wrapText="1"/>
    </xf>
    <xf numFmtId="0" fontId="18" fillId="4" borderId="3" xfId="0" applyFont="1" applyFill="1" applyBorder="1" applyAlignment="1">
      <alignment horizontal="center" vertical="center" wrapText="1"/>
    </xf>
    <xf numFmtId="164" fontId="18" fillId="4" borderId="54" xfId="0" applyNumberFormat="1" applyFont="1" applyFill="1" applyBorder="1" applyAlignment="1">
      <alignment horizontal="center" vertical="center" wrapText="1"/>
    </xf>
    <xf numFmtId="164" fontId="18" fillId="4" borderId="43" xfId="0" applyNumberFormat="1" applyFont="1" applyFill="1" applyBorder="1" applyAlignment="1">
      <alignment horizontal="center" vertical="center" wrapText="1"/>
    </xf>
    <xf numFmtId="0" fontId="15" fillId="0" borderId="107" xfId="0" applyFont="1" applyBorder="1" applyAlignment="1">
      <alignment horizontal="right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4" fontId="3" fillId="2" borderId="43" xfId="0" applyNumberFormat="1" applyFont="1" applyFill="1" applyBorder="1" applyAlignment="1">
      <alignment horizontal="center" vertical="center"/>
    </xf>
    <xf numFmtId="1" fontId="2" fillId="5" borderId="54" xfId="0" applyNumberFormat="1" applyFont="1" applyFill="1" applyBorder="1" applyAlignment="1">
      <alignment horizontal="center" vertical="center"/>
    </xf>
    <xf numFmtId="1" fontId="2" fillId="5" borderId="43" xfId="0" applyNumberFormat="1" applyFont="1" applyFill="1" applyBorder="1" applyAlignment="1">
      <alignment horizontal="center" vertical="center"/>
    </xf>
    <xf numFmtId="1" fontId="2" fillId="5" borderId="1" xfId="0" applyNumberFormat="1" applyFont="1" applyFill="1" applyBorder="1" applyAlignment="1">
      <alignment horizontal="left" vertical="center"/>
    </xf>
    <xf numFmtId="1" fontId="2" fillId="5" borderId="43" xfId="0" applyNumberFormat="1" applyFont="1" applyFill="1" applyBorder="1" applyAlignment="1">
      <alignment horizontal="left" vertical="center"/>
    </xf>
    <xf numFmtId="2" fontId="0" fillId="8" borderId="47" xfId="0" applyNumberFormat="1" applyFont="1" applyFill="1" applyBorder="1" applyAlignment="1">
      <alignment horizontal="center" vertical="center"/>
    </xf>
    <xf numFmtId="2" fontId="0" fillId="8" borderId="72" xfId="0" applyNumberFormat="1" applyFont="1" applyFill="1" applyBorder="1" applyAlignment="1">
      <alignment horizontal="center" vertical="center"/>
    </xf>
    <xf numFmtId="2" fontId="0" fillId="8" borderId="20" xfId="0" applyNumberFormat="1" applyFont="1" applyFill="1" applyBorder="1" applyAlignment="1">
      <alignment horizontal="center" vertical="center"/>
    </xf>
  </cellXfs>
  <cellStyles count="2">
    <cellStyle name="Normal" xfId="0" builtinId="0"/>
    <cellStyle name="Porcentagem" xfId="1" builtinId="5"/>
  </cellStyles>
  <dxfs count="91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6"/>
  <sheetViews>
    <sheetView showGridLines="0" workbookViewId="0">
      <selection activeCell="N23" sqref="N23"/>
    </sheetView>
  </sheetViews>
  <sheetFormatPr defaultRowHeight="15" x14ac:dyDescent="0.25"/>
  <cols>
    <col min="1" max="1" width="20.42578125" bestFit="1" customWidth="1"/>
    <col min="2" max="2" width="3.140625" bestFit="1" customWidth="1"/>
    <col min="3" max="3" width="5.7109375" bestFit="1" customWidth="1"/>
    <col min="4" max="5" width="5.5703125" bestFit="1" customWidth="1"/>
    <col min="6" max="6" width="5.7109375" bestFit="1" customWidth="1"/>
    <col min="7" max="8" width="6.28515625" bestFit="1" customWidth="1"/>
    <col min="9" max="9" width="14.42578125" bestFit="1" customWidth="1"/>
    <col min="11" max="14" width="9.140625" style="454"/>
  </cols>
  <sheetData>
    <row r="1" spans="1:9" ht="15.75" thickBot="1" x14ac:dyDescent="0.3">
      <c r="A1" s="201" t="s">
        <v>214</v>
      </c>
      <c r="B1" s="7"/>
      <c r="C1" s="195" t="s">
        <v>2</v>
      </c>
      <c r="D1" s="195" t="s">
        <v>3</v>
      </c>
      <c r="E1" s="9" t="s">
        <v>5</v>
      </c>
      <c r="F1" s="195" t="s">
        <v>6</v>
      </c>
      <c r="G1" s="195" t="s">
        <v>7</v>
      </c>
      <c r="H1" s="195" t="s">
        <v>8</v>
      </c>
      <c r="I1" s="10" t="s">
        <v>9</v>
      </c>
    </row>
    <row r="2" spans="1:9" x14ac:dyDescent="0.25">
      <c r="A2" s="85" t="s">
        <v>215</v>
      </c>
      <c r="B2" s="107" t="s">
        <v>10</v>
      </c>
      <c r="C2" s="114"/>
      <c r="D2" s="87"/>
      <c r="E2" s="88"/>
      <c r="F2" s="87"/>
      <c r="G2" s="89">
        <f>SUM(G3:G6)</f>
        <v>33.284500000000001</v>
      </c>
      <c r="H2" s="87"/>
      <c r="I2" s="209"/>
    </row>
    <row r="3" spans="1:9" x14ac:dyDescent="0.25">
      <c r="A3" s="21" t="s">
        <v>213</v>
      </c>
      <c r="B3" s="2"/>
      <c r="C3" s="3">
        <f>1.77+0.99</f>
        <v>2.76</v>
      </c>
      <c r="D3" s="5">
        <v>1.27</v>
      </c>
      <c r="E3" s="630"/>
      <c r="F3" s="3"/>
      <c r="G3" s="3">
        <f>D3*C3</f>
        <v>3.5051999999999999</v>
      </c>
      <c r="H3" s="5"/>
      <c r="I3" s="22"/>
    </row>
    <row r="4" spans="1:9" x14ac:dyDescent="0.25">
      <c r="A4" s="626" t="s">
        <v>108</v>
      </c>
      <c r="B4" s="627"/>
      <c r="C4" s="628">
        <v>2</v>
      </c>
      <c r="D4" s="629">
        <v>1.5</v>
      </c>
      <c r="E4" s="630"/>
      <c r="F4" s="628"/>
      <c r="G4" s="628">
        <f t="shared" ref="G4:G6" si="0">D4*C4</f>
        <v>3</v>
      </c>
      <c r="H4" s="629"/>
      <c r="I4" s="631"/>
    </row>
    <row r="5" spans="1:9" x14ac:dyDescent="0.25">
      <c r="A5" s="620" t="s">
        <v>418</v>
      </c>
      <c r="B5" s="621"/>
      <c r="C5" s="622">
        <f>2.605+0.16+2</f>
        <v>4.7650000000000006</v>
      </c>
      <c r="D5" s="623">
        <f>1.26+0.025+1.545</f>
        <v>2.83</v>
      </c>
      <c r="E5" s="624"/>
      <c r="F5" s="628"/>
      <c r="G5" s="628">
        <f t="shared" si="0"/>
        <v>13.484950000000001</v>
      </c>
      <c r="H5" s="623"/>
      <c r="I5" s="625"/>
    </row>
    <row r="6" spans="1:9" ht="15.75" thickBot="1" x14ac:dyDescent="0.3">
      <c r="A6" s="202" t="s">
        <v>419</v>
      </c>
      <c r="B6" s="203"/>
      <c r="C6" s="204">
        <f>2.605+0.16+2</f>
        <v>4.7650000000000006</v>
      </c>
      <c r="D6" s="205">
        <f>1.505+0.025+1.26</f>
        <v>2.79</v>
      </c>
      <c r="E6" s="206"/>
      <c r="F6" s="207"/>
      <c r="G6" s="207">
        <f t="shared" si="0"/>
        <v>13.294350000000001</v>
      </c>
      <c r="H6" s="205"/>
      <c r="I6" s="208"/>
    </row>
    <row r="7" spans="1:9" x14ac:dyDescent="0.25">
      <c r="A7" s="97" t="s">
        <v>216</v>
      </c>
      <c r="B7" s="108" t="s">
        <v>10</v>
      </c>
      <c r="C7" s="140"/>
      <c r="D7" s="54"/>
      <c r="E7" s="55"/>
      <c r="F7" s="87"/>
      <c r="G7" s="89">
        <f>SUM(G8:G11)</f>
        <v>33.284500000000001</v>
      </c>
      <c r="H7" s="87"/>
      <c r="I7" s="209"/>
    </row>
    <row r="8" spans="1:9" x14ac:dyDescent="0.25">
      <c r="A8" s="21" t="s">
        <v>213</v>
      </c>
      <c r="B8" s="2"/>
      <c r="C8" s="3">
        <f>1.77+0.99</f>
        <v>2.76</v>
      </c>
      <c r="D8" s="5">
        <v>1.27</v>
      </c>
      <c r="E8" s="4"/>
      <c r="F8" s="3"/>
      <c r="G8" s="3">
        <f>D8*C8</f>
        <v>3.5051999999999999</v>
      </c>
      <c r="H8" s="5"/>
      <c r="I8" s="22"/>
    </row>
    <row r="9" spans="1:9" x14ac:dyDescent="0.25">
      <c r="A9" s="626" t="s">
        <v>108</v>
      </c>
      <c r="B9" s="627"/>
      <c r="C9" s="628">
        <v>2</v>
      </c>
      <c r="D9" s="629">
        <v>1.5</v>
      </c>
      <c r="E9" s="630"/>
      <c r="F9" s="628"/>
      <c r="G9" s="628">
        <f t="shared" ref="G9:G11" si="1">D9*C9</f>
        <v>3</v>
      </c>
      <c r="H9" s="629"/>
      <c r="I9" s="631"/>
    </row>
    <row r="10" spans="1:9" x14ac:dyDescent="0.25">
      <c r="A10" s="620" t="s">
        <v>418</v>
      </c>
      <c r="B10" s="621"/>
      <c r="C10" s="622">
        <f>2.605+0.16+2</f>
        <v>4.7650000000000006</v>
      </c>
      <c r="D10" s="623">
        <f>1.26+0.025+1.545</f>
        <v>2.83</v>
      </c>
      <c r="E10" s="624"/>
      <c r="F10" s="628"/>
      <c r="G10" s="628">
        <f t="shared" si="1"/>
        <v>13.484950000000001</v>
      </c>
      <c r="H10" s="623"/>
      <c r="I10" s="631"/>
    </row>
    <row r="11" spans="1:9" ht="15.75" thickBot="1" x14ac:dyDescent="0.3">
      <c r="A11" s="202" t="s">
        <v>419</v>
      </c>
      <c r="B11" s="203"/>
      <c r="C11" s="204">
        <f>2.605+0.16+2</f>
        <v>4.7650000000000006</v>
      </c>
      <c r="D11" s="205">
        <f>1.505+0.025+1.26</f>
        <v>2.79</v>
      </c>
      <c r="E11" s="206"/>
      <c r="F11" s="207"/>
      <c r="G11" s="207">
        <f t="shared" si="1"/>
        <v>13.294350000000001</v>
      </c>
      <c r="H11" s="205"/>
      <c r="I11" s="632"/>
    </row>
    <row r="12" spans="1:9" x14ac:dyDescent="0.25">
      <c r="A12" s="97" t="s">
        <v>217</v>
      </c>
      <c r="B12" s="108" t="s">
        <v>10</v>
      </c>
      <c r="C12" s="140"/>
      <c r="D12" s="54"/>
      <c r="E12" s="55"/>
      <c r="F12" s="54"/>
      <c r="G12" s="89">
        <f>SUM(G13:G16)</f>
        <v>33.284500000000001</v>
      </c>
      <c r="H12" s="54"/>
      <c r="I12" s="141"/>
    </row>
    <row r="13" spans="1:9" x14ac:dyDescent="0.25">
      <c r="A13" s="21" t="s">
        <v>213</v>
      </c>
      <c r="B13" s="2"/>
      <c r="C13" s="3">
        <f>1.77+0.99</f>
        <v>2.76</v>
      </c>
      <c r="D13" s="5">
        <v>1.27</v>
      </c>
      <c r="E13" s="4"/>
      <c r="F13" s="3"/>
      <c r="G13" s="3">
        <f>D13*C13</f>
        <v>3.5051999999999999</v>
      </c>
      <c r="H13" s="5"/>
      <c r="I13" s="22"/>
    </row>
    <row r="14" spans="1:9" x14ac:dyDescent="0.25">
      <c r="A14" s="626" t="s">
        <v>108</v>
      </c>
      <c r="B14" s="627"/>
      <c r="C14" s="628">
        <v>2</v>
      </c>
      <c r="D14" s="629">
        <v>1.5</v>
      </c>
      <c r="E14" s="630"/>
      <c r="F14" s="628"/>
      <c r="G14" s="628">
        <f t="shared" ref="G14:G16" si="2">D14*C14</f>
        <v>3</v>
      </c>
      <c r="H14" s="629"/>
      <c r="I14" s="631"/>
    </row>
    <row r="15" spans="1:9" x14ac:dyDescent="0.25">
      <c r="A15" s="620" t="s">
        <v>418</v>
      </c>
      <c r="B15" s="621"/>
      <c r="C15" s="622">
        <f>2.605+0.16+2</f>
        <v>4.7650000000000006</v>
      </c>
      <c r="D15" s="623">
        <f>1.26+0.025+1.545</f>
        <v>2.83</v>
      </c>
      <c r="E15" s="624"/>
      <c r="F15" s="628"/>
      <c r="G15" s="628">
        <f t="shared" si="2"/>
        <v>13.484950000000001</v>
      </c>
      <c r="H15" s="623"/>
      <c r="I15" s="625"/>
    </row>
    <row r="16" spans="1:9" ht="15.75" thickBot="1" x14ac:dyDescent="0.3">
      <c r="A16" s="202" t="s">
        <v>419</v>
      </c>
      <c r="B16" s="203"/>
      <c r="C16" s="204">
        <f>2.605+0.16+2</f>
        <v>4.7650000000000006</v>
      </c>
      <c r="D16" s="205">
        <f>1.505+0.025+1.26</f>
        <v>2.79</v>
      </c>
      <c r="E16" s="206"/>
      <c r="F16" s="207"/>
      <c r="G16" s="207">
        <f t="shared" si="2"/>
        <v>13.294350000000001</v>
      </c>
      <c r="H16" s="205"/>
      <c r="I16" s="208"/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459"/>
  <sheetViews>
    <sheetView showGridLines="0" topLeftCell="A314" zoomScale="70" zoomScaleNormal="70" workbookViewId="0">
      <selection activeCell="K340" sqref="A340:K342"/>
    </sheetView>
  </sheetViews>
  <sheetFormatPr defaultRowHeight="15" x14ac:dyDescent="0.25"/>
  <cols>
    <col min="1" max="1" width="104.7109375" customWidth="1"/>
    <col min="2" max="2" width="7.28515625" bestFit="1" customWidth="1"/>
    <col min="3" max="3" width="7.42578125" bestFit="1" customWidth="1"/>
    <col min="4" max="4" width="7.140625" bestFit="1" customWidth="1"/>
    <col min="5" max="5" width="15.42578125" bestFit="1" customWidth="1"/>
    <col min="6" max="6" width="7.140625" bestFit="1" customWidth="1"/>
    <col min="7" max="7" width="6.85546875" bestFit="1" customWidth="1"/>
    <col min="8" max="8" width="8.28515625" bestFit="1" customWidth="1"/>
    <col min="9" max="9" width="9.28515625" bestFit="1" customWidth="1"/>
    <col min="10" max="10" width="7.85546875" bestFit="1" customWidth="1"/>
    <col min="11" max="11" width="86.42578125" bestFit="1" customWidth="1"/>
    <col min="12" max="12" width="1.7109375" customWidth="1"/>
    <col min="13" max="13" width="47.7109375" bestFit="1" customWidth="1"/>
    <col min="14" max="14" width="7.85546875" bestFit="1" customWidth="1"/>
    <col min="15" max="15" width="8.5703125" bestFit="1" customWidth="1"/>
    <col min="17" max="17" width="59.5703125" bestFit="1" customWidth="1"/>
    <col min="21" max="21" width="16.140625" bestFit="1" customWidth="1"/>
  </cols>
  <sheetData>
    <row r="1" spans="1:15" ht="15.75" thickBot="1" x14ac:dyDescent="0.3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spans="1:15" ht="15.75" thickBot="1" x14ac:dyDescent="0.3">
      <c r="A2" s="460" t="s">
        <v>0</v>
      </c>
      <c r="B2" s="7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9" t="s">
        <v>1</v>
      </c>
      <c r="H2" s="8" t="s">
        <v>6</v>
      </c>
      <c r="I2" s="8" t="s">
        <v>7</v>
      </c>
      <c r="J2" s="8" t="s">
        <v>8</v>
      </c>
      <c r="K2" s="10" t="s">
        <v>9</v>
      </c>
      <c r="M2" s="461" t="s">
        <v>36</v>
      </c>
      <c r="N2" s="698" t="s">
        <v>37</v>
      </c>
      <c r="O2" s="699"/>
    </row>
    <row r="3" spans="1:15" x14ac:dyDescent="0.25">
      <c r="A3" s="11" t="s">
        <v>34</v>
      </c>
      <c r="B3" s="12" t="s">
        <v>35</v>
      </c>
      <c r="C3" s="13">
        <v>7.3280000000000003</v>
      </c>
      <c r="D3" s="14">
        <f>3.683+0.87+0.045</f>
        <v>4.5979999999999999</v>
      </c>
      <c r="E3" s="13"/>
      <c r="F3" s="13"/>
      <c r="G3" s="15"/>
      <c r="H3" s="16"/>
      <c r="I3" s="17">
        <f>SUM(I4:I6)</f>
        <v>30.477100000000004</v>
      </c>
      <c r="J3" s="18">
        <f>SUM(J4:J6)</f>
        <v>0.60954200000000014</v>
      </c>
      <c r="K3" s="19"/>
      <c r="M3" s="419">
        <f>28.55+(G11*D11*C11)</f>
        <v>30.472000000000001</v>
      </c>
      <c r="N3" s="13">
        <f>M3-I3</f>
        <v>-5.1000000000023249E-3</v>
      </c>
      <c r="O3" s="462">
        <f>N3/M3</f>
        <v>-1.6736676292997916E-4</v>
      </c>
    </row>
    <row r="4" spans="1:15" x14ac:dyDescent="0.25">
      <c r="A4" s="21" t="s">
        <v>336</v>
      </c>
      <c r="B4" s="2"/>
      <c r="C4" s="3">
        <v>2.84</v>
      </c>
      <c r="D4" s="3">
        <v>4.78</v>
      </c>
      <c r="E4" s="3">
        <v>0.02</v>
      </c>
      <c r="F4" s="3"/>
      <c r="G4" s="4"/>
      <c r="H4" s="5"/>
      <c r="I4" s="3">
        <f>C4*D4</f>
        <v>13.575200000000001</v>
      </c>
      <c r="J4" s="3">
        <f>I4*E4</f>
        <v>0.27150400000000002</v>
      </c>
      <c r="K4" s="22"/>
      <c r="M4" s="405"/>
      <c r="N4" s="25"/>
      <c r="O4" s="404"/>
    </row>
    <row r="5" spans="1:15" x14ac:dyDescent="0.25">
      <c r="A5" s="21" t="s">
        <v>337</v>
      </c>
      <c r="B5" s="2"/>
      <c r="C5" s="3">
        <v>2.8</v>
      </c>
      <c r="D5" s="3">
        <v>4.78</v>
      </c>
      <c r="E5" s="3">
        <v>0.02</v>
      </c>
      <c r="F5" s="3"/>
      <c r="G5" s="4"/>
      <c r="H5" s="5"/>
      <c r="I5" s="3">
        <f>C5*D5</f>
        <v>13.384</v>
      </c>
      <c r="J5" s="3">
        <f>I5*E5</f>
        <v>0.26768000000000003</v>
      </c>
      <c r="K5" s="22"/>
      <c r="M5" s="405"/>
      <c r="N5" s="25"/>
      <c r="O5" s="404"/>
    </row>
    <row r="6" spans="1:15" x14ac:dyDescent="0.25">
      <c r="A6" s="21" t="s">
        <v>322</v>
      </c>
      <c r="B6" s="2"/>
      <c r="C6" s="3">
        <v>1.27</v>
      </c>
      <c r="D6" s="3">
        <v>2.77</v>
      </c>
      <c r="E6" s="3">
        <v>0.02</v>
      </c>
      <c r="F6" s="3"/>
      <c r="G6" s="4"/>
      <c r="H6" s="5"/>
      <c r="I6" s="3">
        <f t="shared" ref="I6" si="0">C6*D6</f>
        <v>3.5179</v>
      </c>
      <c r="J6" s="3">
        <f t="shared" ref="J6" si="1">I6*E6</f>
        <v>7.0358000000000004E-2</v>
      </c>
      <c r="K6" s="22"/>
      <c r="M6" s="405"/>
      <c r="N6" s="25"/>
      <c r="O6" s="404"/>
    </row>
    <row r="7" spans="1:15" x14ac:dyDescent="0.25">
      <c r="A7" s="11" t="s">
        <v>11</v>
      </c>
      <c r="B7" s="12" t="s">
        <v>1</v>
      </c>
      <c r="C7" s="13"/>
      <c r="D7" s="13"/>
      <c r="E7" s="13"/>
      <c r="F7" s="13"/>
      <c r="G7" s="20">
        <f>SUM(G8:G9)</f>
        <v>8</v>
      </c>
      <c r="H7" s="13"/>
      <c r="I7" s="13"/>
      <c r="J7" s="18">
        <f>SUM(J8:J9)</f>
        <v>8.6399999999999997E-4</v>
      </c>
      <c r="K7" s="19"/>
      <c r="M7" s="414">
        <f>2+1+3+2</f>
        <v>8</v>
      </c>
      <c r="N7" s="116">
        <f>M7-G7</f>
        <v>0</v>
      </c>
      <c r="O7" s="415">
        <f>N7/M7</f>
        <v>0</v>
      </c>
    </row>
    <row r="8" spans="1:15" x14ac:dyDescent="0.25">
      <c r="A8" s="21" t="s">
        <v>12</v>
      </c>
      <c r="B8" s="2"/>
      <c r="C8" s="3">
        <v>0.09</v>
      </c>
      <c r="D8" s="3">
        <v>0.12</v>
      </c>
      <c r="E8" s="3">
        <v>0.01</v>
      </c>
      <c r="F8" s="3"/>
      <c r="G8" s="4">
        <f>(2+3)+(1)</f>
        <v>6</v>
      </c>
      <c r="H8" s="5"/>
      <c r="I8" s="3">
        <f>C8*D8*G8</f>
        <v>6.4799999999999996E-2</v>
      </c>
      <c r="J8" s="3">
        <f>I8*E8</f>
        <v>6.4800000000000003E-4</v>
      </c>
      <c r="K8" s="22"/>
      <c r="M8" s="405"/>
      <c r="N8" s="25"/>
      <c r="O8" s="404"/>
    </row>
    <row r="9" spans="1:15" x14ac:dyDescent="0.25">
      <c r="A9" s="21" t="s">
        <v>13</v>
      </c>
      <c r="B9" s="2"/>
      <c r="C9" s="3">
        <v>0.09</v>
      </c>
      <c r="D9" s="3">
        <v>0.12</v>
      </c>
      <c r="E9" s="3">
        <v>0.01</v>
      </c>
      <c r="F9" s="3"/>
      <c r="G9" s="4">
        <v>2</v>
      </c>
      <c r="H9" s="5"/>
      <c r="I9" s="3">
        <f>C9*D9*G9</f>
        <v>2.1599999999999998E-2</v>
      </c>
      <c r="J9" s="3">
        <f>I9*E9</f>
        <v>2.1599999999999999E-4</v>
      </c>
      <c r="K9" s="22"/>
      <c r="M9" s="405"/>
      <c r="N9" s="25"/>
      <c r="O9" s="404"/>
    </row>
    <row r="10" spans="1:15" x14ac:dyDescent="0.25">
      <c r="A10" s="11" t="s">
        <v>14</v>
      </c>
      <c r="B10" s="12" t="s">
        <v>1</v>
      </c>
      <c r="C10" s="13"/>
      <c r="D10" s="13"/>
      <c r="E10" s="13"/>
      <c r="F10" s="13"/>
      <c r="G10" s="20">
        <f>SUM(G11:G13)</f>
        <v>5</v>
      </c>
      <c r="H10" s="16"/>
      <c r="I10" s="13"/>
      <c r="J10" s="18">
        <f>SUM(J11:J13)</f>
        <v>9.6100000000000019E-2</v>
      </c>
      <c r="K10" s="19"/>
      <c r="M10" s="414">
        <v>5</v>
      </c>
      <c r="N10" s="116">
        <f>M10-G10</f>
        <v>0</v>
      </c>
      <c r="O10" s="415">
        <f>N10/M10</f>
        <v>0</v>
      </c>
    </row>
    <row r="11" spans="1:15" x14ac:dyDescent="0.25">
      <c r="A11" s="21" t="s">
        <v>335</v>
      </c>
      <c r="B11" s="2"/>
      <c r="C11" s="3">
        <v>0.62</v>
      </c>
      <c r="D11" s="3">
        <v>0.62</v>
      </c>
      <c r="E11" s="3">
        <v>0.05</v>
      </c>
      <c r="F11" s="3"/>
      <c r="G11" s="4">
        <v>5</v>
      </c>
      <c r="H11" s="5"/>
      <c r="I11" s="3">
        <f>C11*D11*G11</f>
        <v>1.9220000000000002</v>
      </c>
      <c r="J11" s="3">
        <f>I11*E11</f>
        <v>9.6100000000000019E-2</v>
      </c>
      <c r="K11" s="22"/>
      <c r="M11" s="405"/>
      <c r="N11" s="25"/>
      <c r="O11" s="404"/>
    </row>
    <row r="12" spans="1:15" x14ac:dyDescent="0.25">
      <c r="A12" s="21" t="s">
        <v>15</v>
      </c>
      <c r="B12" s="2"/>
      <c r="C12" s="3">
        <v>0.14000000000000001</v>
      </c>
      <c r="D12" s="3">
        <v>0.14000000000000001</v>
      </c>
      <c r="E12" s="3">
        <v>0.1</v>
      </c>
      <c r="F12" s="3"/>
      <c r="G12" s="4"/>
      <c r="H12" s="5"/>
      <c r="I12" s="3">
        <f>C12*D12*G12</f>
        <v>0</v>
      </c>
      <c r="J12" s="3">
        <f>I12*E12</f>
        <v>0</v>
      </c>
      <c r="K12" s="22"/>
      <c r="M12" s="405"/>
      <c r="N12" s="25"/>
      <c r="O12" s="404"/>
    </row>
    <row r="13" spans="1:15" x14ac:dyDescent="0.25">
      <c r="A13" s="21" t="s">
        <v>16</v>
      </c>
      <c r="B13" s="2"/>
      <c r="C13" s="3">
        <v>0.6</v>
      </c>
      <c r="D13" s="3">
        <v>0.14000000000000001</v>
      </c>
      <c r="E13" s="3">
        <v>0.05</v>
      </c>
      <c r="F13" s="3"/>
      <c r="G13" s="4"/>
      <c r="H13" s="5"/>
      <c r="I13" s="3">
        <f>C13*D13*G13</f>
        <v>0</v>
      </c>
      <c r="J13" s="3">
        <f>I13*E13</f>
        <v>0</v>
      </c>
      <c r="K13" s="22"/>
      <c r="M13" s="405"/>
      <c r="N13" s="25"/>
      <c r="O13" s="404"/>
    </row>
    <row r="14" spans="1:15" x14ac:dyDescent="0.25">
      <c r="A14" s="11" t="s">
        <v>103</v>
      </c>
      <c r="B14" s="12" t="s">
        <v>35</v>
      </c>
      <c r="C14" s="13"/>
      <c r="D14" s="13"/>
      <c r="E14" s="13"/>
      <c r="F14" s="13"/>
      <c r="G14" s="45">
        <f>SUM(G15:G16)</f>
        <v>2</v>
      </c>
      <c r="H14" s="16"/>
      <c r="I14" s="17">
        <f>SUM(I15:I16)</f>
        <v>3.1672000000000002</v>
      </c>
      <c r="J14" s="18">
        <f>SUM(J15:J16)</f>
        <v>0.64135800000000009</v>
      </c>
      <c r="K14" s="19" t="s">
        <v>38</v>
      </c>
      <c r="M14" s="414">
        <v>2</v>
      </c>
      <c r="N14" s="116">
        <f>M14-G14</f>
        <v>0</v>
      </c>
      <c r="O14" s="415">
        <f>N14/M14</f>
        <v>0</v>
      </c>
    </row>
    <row r="15" spans="1:15" x14ac:dyDescent="0.25">
      <c r="A15" s="21" t="s">
        <v>165</v>
      </c>
      <c r="B15" s="2"/>
      <c r="C15" s="3">
        <v>0.74</v>
      </c>
      <c r="D15" s="3">
        <v>2.14</v>
      </c>
      <c r="E15" s="3">
        <v>0.155</v>
      </c>
      <c r="F15" s="3"/>
      <c r="G15" s="24">
        <v>1</v>
      </c>
      <c r="H15" s="5"/>
      <c r="I15" s="3">
        <f>C15*D15*G15</f>
        <v>1.5836000000000001</v>
      </c>
      <c r="J15" s="3">
        <f>C15*E15*D15*G15</f>
        <v>0.24545800000000001</v>
      </c>
      <c r="K15" s="22" t="s">
        <v>322</v>
      </c>
      <c r="M15" s="405"/>
      <c r="N15" s="25"/>
      <c r="O15" s="404"/>
    </row>
    <row r="16" spans="1:15" x14ac:dyDescent="0.25">
      <c r="A16" s="21" t="s">
        <v>166</v>
      </c>
      <c r="B16" s="2"/>
      <c r="C16" s="3">
        <v>0.74</v>
      </c>
      <c r="D16" s="3">
        <v>2.14</v>
      </c>
      <c r="E16" s="3">
        <v>0.25</v>
      </c>
      <c r="F16" s="3"/>
      <c r="G16" s="24">
        <v>1</v>
      </c>
      <c r="H16" s="5"/>
      <c r="I16" s="3">
        <f>C16*D16*G16</f>
        <v>1.5836000000000001</v>
      </c>
      <c r="J16" s="3">
        <f>C16*E16*D16*G16</f>
        <v>0.39590000000000003</v>
      </c>
      <c r="K16" s="22" t="s">
        <v>324</v>
      </c>
      <c r="M16" s="405"/>
      <c r="N16" s="25"/>
      <c r="O16" s="404"/>
    </row>
    <row r="17" spans="1:15" x14ac:dyDescent="0.25">
      <c r="A17" s="11" t="s">
        <v>19</v>
      </c>
      <c r="B17" s="12" t="s">
        <v>1</v>
      </c>
      <c r="C17" s="13"/>
      <c r="D17" s="13"/>
      <c r="E17" s="13"/>
      <c r="F17" s="13"/>
      <c r="G17" s="20">
        <f>SUM(G18:G21)</f>
        <v>8</v>
      </c>
      <c r="H17" s="13"/>
      <c r="I17" s="13"/>
      <c r="J17" s="18">
        <f>SUM(J18:J20)</f>
        <v>0.35797300000000004</v>
      </c>
      <c r="K17" s="19"/>
      <c r="M17" s="414">
        <f>SUM(M18:M21)</f>
        <v>8</v>
      </c>
      <c r="N17" s="116">
        <f t="shared" ref="N17:N25" si="2">M17-G17</f>
        <v>0</v>
      </c>
      <c r="O17" s="415">
        <f>N17/M17</f>
        <v>0</v>
      </c>
    </row>
    <row r="18" spans="1:15" x14ac:dyDescent="0.25">
      <c r="A18" s="21" t="s">
        <v>20</v>
      </c>
      <c r="B18" s="2"/>
      <c r="C18" s="3">
        <v>0.47</v>
      </c>
      <c r="D18" s="3">
        <v>0.43</v>
      </c>
      <c r="E18" s="3">
        <v>0.13</v>
      </c>
      <c r="F18" s="3"/>
      <c r="G18" s="24">
        <f>1</f>
        <v>1</v>
      </c>
      <c r="H18" s="5"/>
      <c r="I18" s="3"/>
      <c r="J18" s="3">
        <f>C18*E18*D18*G18</f>
        <v>2.6273000000000001E-2</v>
      </c>
      <c r="K18" s="22"/>
      <c r="M18" s="418">
        <v>1</v>
      </c>
      <c r="N18" s="125">
        <f t="shared" si="2"/>
        <v>0</v>
      </c>
      <c r="O18" s="404">
        <f t="shared" ref="O18:O21" si="3">N18/M18</f>
        <v>0</v>
      </c>
    </row>
    <row r="19" spans="1:15" x14ac:dyDescent="0.25">
      <c r="A19" s="105" t="s">
        <v>104</v>
      </c>
      <c r="B19" s="109"/>
      <c r="C19" s="59">
        <v>0.65</v>
      </c>
      <c r="D19" s="59">
        <v>0.15</v>
      </c>
      <c r="E19" s="59">
        <v>0.12</v>
      </c>
      <c r="F19" s="59"/>
      <c r="G19" s="75">
        <f>1</f>
        <v>1</v>
      </c>
      <c r="H19" s="77"/>
      <c r="I19" s="59"/>
      <c r="J19" s="59">
        <f>C19*E19*D19*G19</f>
        <v>1.17E-2</v>
      </c>
      <c r="K19" s="22"/>
      <c r="M19" s="418">
        <v>1</v>
      </c>
      <c r="N19" s="125">
        <f t="shared" si="2"/>
        <v>0</v>
      </c>
      <c r="O19" s="404">
        <f t="shared" si="3"/>
        <v>0</v>
      </c>
    </row>
    <row r="20" spans="1:15" x14ac:dyDescent="0.25">
      <c r="A20" s="21" t="s">
        <v>21</v>
      </c>
      <c r="B20" s="2"/>
      <c r="C20" s="3">
        <v>0.4</v>
      </c>
      <c r="D20" s="3">
        <v>0.5</v>
      </c>
      <c r="E20" s="3">
        <v>0.4</v>
      </c>
      <c r="F20" s="3"/>
      <c r="G20" s="24">
        <f>1+3</f>
        <v>4</v>
      </c>
      <c r="H20" s="5"/>
      <c r="I20" s="3"/>
      <c r="J20" s="3">
        <f>C20*E20*D20*G20</f>
        <v>0.32000000000000006</v>
      </c>
      <c r="K20" s="22"/>
      <c r="M20" s="418">
        <v>4</v>
      </c>
      <c r="N20" s="125">
        <f t="shared" si="2"/>
        <v>0</v>
      </c>
      <c r="O20" s="404">
        <f t="shared" si="3"/>
        <v>0</v>
      </c>
    </row>
    <row r="21" spans="1:15" x14ac:dyDescent="0.25">
      <c r="A21" s="21" t="s">
        <v>162</v>
      </c>
      <c r="B21" s="2"/>
      <c r="C21" s="3">
        <v>0.29499999999999998</v>
      </c>
      <c r="D21" s="3">
        <v>0.51500000000000001</v>
      </c>
      <c r="E21" s="3">
        <v>0.29499999999999998</v>
      </c>
      <c r="F21" s="3"/>
      <c r="G21" s="24">
        <f>2</f>
        <v>2</v>
      </c>
      <c r="H21" s="5"/>
      <c r="I21" s="3"/>
      <c r="J21" s="3">
        <f>C21*E21*D21*G21</f>
        <v>8.963575E-2</v>
      </c>
      <c r="K21" s="22"/>
      <c r="M21" s="418">
        <v>2</v>
      </c>
      <c r="N21" s="125">
        <f t="shared" si="2"/>
        <v>0</v>
      </c>
      <c r="O21" s="404">
        <f t="shared" si="3"/>
        <v>0</v>
      </c>
    </row>
    <row r="22" spans="1:15" x14ac:dyDescent="0.25">
      <c r="A22" s="11" t="s">
        <v>22</v>
      </c>
      <c r="B22" s="12" t="s">
        <v>1</v>
      </c>
      <c r="C22" s="13"/>
      <c r="D22" s="13"/>
      <c r="E22" s="13"/>
      <c r="F22" s="13"/>
      <c r="G22" s="20">
        <f>SUM(G23)</f>
        <v>6</v>
      </c>
      <c r="H22" s="16"/>
      <c r="I22" s="16"/>
      <c r="J22" s="18">
        <f>SUM(J23)</f>
        <v>4.0559999999999997E-3</v>
      </c>
      <c r="K22" s="19"/>
      <c r="M22" s="414">
        <f>M23</f>
        <v>6</v>
      </c>
      <c r="N22" s="116">
        <f t="shared" si="2"/>
        <v>0</v>
      </c>
      <c r="O22" s="415">
        <f>N22/M22</f>
        <v>0</v>
      </c>
    </row>
    <row r="23" spans="1:15" x14ac:dyDescent="0.25">
      <c r="A23" s="21" t="s">
        <v>23</v>
      </c>
      <c r="B23" s="2"/>
      <c r="C23" s="3">
        <v>0.13</v>
      </c>
      <c r="D23" s="3">
        <v>0.13</v>
      </c>
      <c r="E23" s="3">
        <v>0.04</v>
      </c>
      <c r="F23" s="3"/>
      <c r="G23" s="24">
        <f>(3+1)+(1)+(1)</f>
        <v>6</v>
      </c>
      <c r="H23" s="5"/>
      <c r="I23" s="3"/>
      <c r="J23" s="3">
        <f>G23*E23*C23*D23</f>
        <v>4.0559999999999997E-3</v>
      </c>
      <c r="K23" s="22"/>
      <c r="M23" s="418">
        <f>4+2</f>
        <v>6</v>
      </c>
      <c r="N23" s="125">
        <f t="shared" si="2"/>
        <v>0</v>
      </c>
      <c r="O23" s="404">
        <f t="shared" ref="O23" si="4">N23/M23</f>
        <v>0</v>
      </c>
    </row>
    <row r="24" spans="1:15" x14ac:dyDescent="0.25">
      <c r="A24" s="11" t="s">
        <v>24</v>
      </c>
      <c r="B24" s="12" t="s">
        <v>1</v>
      </c>
      <c r="C24" s="13"/>
      <c r="D24" s="13"/>
      <c r="E24" s="13"/>
      <c r="F24" s="13"/>
      <c r="G24" s="20">
        <f>SUM(G25:G36)</f>
        <v>41</v>
      </c>
      <c r="H24" s="13"/>
      <c r="I24" s="13"/>
      <c r="J24" s="18">
        <f>SUM(J25:J36)</f>
        <v>0.22177600000000003</v>
      </c>
      <c r="K24" s="19"/>
      <c r="M24" s="414">
        <f>SUM(M25:M36)</f>
        <v>41</v>
      </c>
      <c r="N24" s="116">
        <f t="shared" si="2"/>
        <v>0</v>
      </c>
      <c r="O24" s="415">
        <f>N24/M24</f>
        <v>0</v>
      </c>
    </row>
    <row r="25" spans="1:15" x14ac:dyDescent="0.25">
      <c r="A25" s="21" t="s">
        <v>105</v>
      </c>
      <c r="B25" s="2"/>
      <c r="C25" s="59">
        <v>0.15</v>
      </c>
      <c r="D25" s="59">
        <v>0.15</v>
      </c>
      <c r="E25" s="59">
        <v>0.15</v>
      </c>
      <c r="F25" s="3"/>
      <c r="G25" s="24">
        <f>1+3</f>
        <v>4</v>
      </c>
      <c r="H25" s="5"/>
      <c r="I25" s="3"/>
      <c r="J25" s="3">
        <f t="shared" ref="J25:J26" si="5">C25*E25*D25*G25</f>
        <v>1.35E-2</v>
      </c>
      <c r="K25" s="22"/>
      <c r="M25" s="418">
        <v>4</v>
      </c>
      <c r="N25" s="125">
        <f t="shared" si="2"/>
        <v>0</v>
      </c>
      <c r="O25" s="404">
        <f t="shared" ref="O25:O36" si="6">N25/M25</f>
        <v>0</v>
      </c>
    </row>
    <row r="26" spans="1:15" x14ac:dyDescent="0.25">
      <c r="A26" s="21" t="s">
        <v>167</v>
      </c>
      <c r="B26" s="2"/>
      <c r="C26" s="3">
        <v>0.3</v>
      </c>
      <c r="D26" s="3">
        <v>0.3</v>
      </c>
      <c r="E26" s="3">
        <v>0.25</v>
      </c>
      <c r="F26" s="3"/>
      <c r="G26" s="24">
        <v>1</v>
      </c>
      <c r="H26" s="5"/>
      <c r="I26" s="3"/>
      <c r="J26" s="3">
        <f t="shared" si="5"/>
        <v>2.2499999999999999E-2</v>
      </c>
      <c r="K26" s="22"/>
      <c r="M26" s="418">
        <v>1</v>
      </c>
      <c r="N26" s="125">
        <f t="shared" ref="N26" si="7">M26-G26</f>
        <v>0</v>
      </c>
      <c r="O26" s="404">
        <f t="shared" ref="O26" si="8">N26/M26</f>
        <v>0</v>
      </c>
    </row>
    <row r="27" spans="1:15" x14ac:dyDescent="0.25">
      <c r="A27" s="21" t="s">
        <v>39</v>
      </c>
      <c r="B27" s="2"/>
      <c r="C27" s="3">
        <v>0.25</v>
      </c>
      <c r="D27" s="3">
        <v>0.25</v>
      </c>
      <c r="E27" s="3">
        <v>0.25</v>
      </c>
      <c r="F27" s="3"/>
      <c r="G27" s="24">
        <f>(2+4)+(1)</f>
        <v>7</v>
      </c>
      <c r="H27" s="5"/>
      <c r="I27" s="3"/>
      <c r="J27" s="3">
        <f t="shared" ref="J27:J36" si="9">C27*E27*D27*G27</f>
        <v>0.109375</v>
      </c>
      <c r="K27" s="22"/>
      <c r="M27" s="418">
        <v>7</v>
      </c>
      <c r="N27" s="125">
        <f t="shared" ref="N27:N36" si="10">M27-G27</f>
        <v>0</v>
      </c>
      <c r="O27" s="404">
        <f t="shared" si="6"/>
        <v>0</v>
      </c>
    </row>
    <row r="28" spans="1:15" x14ac:dyDescent="0.25">
      <c r="A28" s="21" t="s">
        <v>163</v>
      </c>
      <c r="B28" s="2"/>
      <c r="C28" s="3">
        <v>0.1</v>
      </c>
      <c r="D28" s="3">
        <v>0.1</v>
      </c>
      <c r="E28" s="3">
        <v>0.1</v>
      </c>
      <c r="F28" s="3"/>
      <c r="G28" s="24">
        <f>(1+3+1+2)+(1+1)</f>
        <v>9</v>
      </c>
      <c r="H28" s="5"/>
      <c r="I28" s="3"/>
      <c r="J28" s="3">
        <f t="shared" ref="J28" si="11">C28*E28*D28*G28</f>
        <v>9.0000000000000028E-3</v>
      </c>
      <c r="K28" s="22"/>
      <c r="M28" s="418">
        <f>8+1</f>
        <v>9</v>
      </c>
      <c r="N28" s="125">
        <f t="shared" si="10"/>
        <v>0</v>
      </c>
      <c r="O28" s="404">
        <f t="shared" si="6"/>
        <v>0</v>
      </c>
    </row>
    <row r="29" spans="1:15" x14ac:dyDescent="0.25">
      <c r="A29" s="21" t="s">
        <v>40</v>
      </c>
      <c r="B29" s="2"/>
      <c r="C29" s="3">
        <v>0.11</v>
      </c>
      <c r="D29" s="3">
        <v>0.1</v>
      </c>
      <c r="E29" s="3">
        <v>0.05</v>
      </c>
      <c r="F29" s="3"/>
      <c r="G29" s="24">
        <f>1+3</f>
        <v>4</v>
      </c>
      <c r="H29" s="5"/>
      <c r="I29" s="3"/>
      <c r="J29" s="3">
        <f>C29*E29*D29*G29</f>
        <v>2.2000000000000001E-3</v>
      </c>
      <c r="K29" s="22"/>
      <c r="M29" s="418">
        <v>4</v>
      </c>
      <c r="N29" s="125">
        <f t="shared" si="10"/>
        <v>0</v>
      </c>
      <c r="O29" s="404">
        <f t="shared" si="6"/>
        <v>0</v>
      </c>
    </row>
    <row r="30" spans="1:15" x14ac:dyDescent="0.25">
      <c r="A30" s="21" t="s">
        <v>25</v>
      </c>
      <c r="B30" s="2"/>
      <c r="C30" s="3">
        <v>0.5</v>
      </c>
      <c r="D30" s="3">
        <v>0.7</v>
      </c>
      <c r="E30" s="3">
        <v>4.0000000000000001E-3</v>
      </c>
      <c r="F30" s="3"/>
      <c r="G30" s="24">
        <v>1</v>
      </c>
      <c r="H30" s="5"/>
      <c r="I30" s="3"/>
      <c r="J30" s="3">
        <f>C30*E30*D30*G30</f>
        <v>1.4E-3</v>
      </c>
      <c r="K30" s="22" t="s">
        <v>323</v>
      </c>
      <c r="M30" s="418">
        <v>1</v>
      </c>
      <c r="N30" s="125">
        <f t="shared" si="10"/>
        <v>0</v>
      </c>
      <c r="O30" s="404">
        <f t="shared" si="6"/>
        <v>0</v>
      </c>
    </row>
    <row r="31" spans="1:15" x14ac:dyDescent="0.25">
      <c r="A31" s="21" t="s">
        <v>25</v>
      </c>
      <c r="B31" s="2"/>
      <c r="C31" s="3">
        <v>1.3</v>
      </c>
      <c r="D31" s="3">
        <v>0.6</v>
      </c>
      <c r="E31" s="3">
        <v>4.0000000000000001E-3</v>
      </c>
      <c r="F31" s="3"/>
      <c r="G31" s="24">
        <v>1</v>
      </c>
      <c r="H31" s="5"/>
      <c r="I31" s="3"/>
      <c r="J31" s="3">
        <f t="shared" ref="J31:J32" si="12">C31*E31*D31*G31</f>
        <v>3.1200000000000004E-3</v>
      </c>
      <c r="K31" s="22" t="s">
        <v>320</v>
      </c>
      <c r="M31" s="418">
        <v>1</v>
      </c>
      <c r="N31" s="125">
        <f t="shared" si="10"/>
        <v>0</v>
      </c>
      <c r="O31" s="404">
        <f t="shared" si="6"/>
        <v>0</v>
      </c>
    </row>
    <row r="32" spans="1:15" x14ac:dyDescent="0.25">
      <c r="A32" s="21" t="s">
        <v>410</v>
      </c>
      <c r="B32" s="2"/>
      <c r="C32" s="3">
        <v>0.1</v>
      </c>
      <c r="D32" s="3">
        <v>0.1</v>
      </c>
      <c r="E32" s="3">
        <v>0.1</v>
      </c>
      <c r="F32" s="3"/>
      <c r="G32" s="24">
        <v>4</v>
      </c>
      <c r="H32" s="5"/>
      <c r="I32" s="3"/>
      <c r="J32" s="3">
        <f t="shared" si="12"/>
        <v>4.000000000000001E-3</v>
      </c>
      <c r="K32" s="22"/>
      <c r="M32" s="418">
        <v>4</v>
      </c>
      <c r="N32" s="125">
        <f t="shared" ref="N32" si="13">M32-G32</f>
        <v>0</v>
      </c>
      <c r="O32" s="404">
        <f t="shared" ref="O32" si="14">N32/M32</f>
        <v>0</v>
      </c>
    </row>
    <row r="33" spans="1:15" x14ac:dyDescent="0.25">
      <c r="A33" s="21" t="s">
        <v>42</v>
      </c>
      <c r="B33" s="2"/>
      <c r="C33" s="3">
        <v>0.25</v>
      </c>
      <c r="D33" s="3">
        <v>0.15</v>
      </c>
      <c r="E33" s="3">
        <v>0.15</v>
      </c>
      <c r="F33" s="3"/>
      <c r="G33" s="24">
        <v>1</v>
      </c>
      <c r="H33" s="5"/>
      <c r="I33" s="3"/>
      <c r="J33" s="3">
        <f t="shared" si="9"/>
        <v>5.6249999999999998E-3</v>
      </c>
      <c r="K33" s="22"/>
      <c r="M33" s="418">
        <v>1</v>
      </c>
      <c r="N33" s="125">
        <f t="shared" si="10"/>
        <v>0</v>
      </c>
      <c r="O33" s="404">
        <f t="shared" si="6"/>
        <v>0</v>
      </c>
    </row>
    <row r="34" spans="1:15" x14ac:dyDescent="0.25">
      <c r="A34" s="21" t="s">
        <v>211</v>
      </c>
      <c r="B34" s="2"/>
      <c r="C34" s="3">
        <v>0.2</v>
      </c>
      <c r="D34" s="3">
        <v>0.2</v>
      </c>
      <c r="E34" s="3">
        <v>0.17</v>
      </c>
      <c r="F34" s="3"/>
      <c r="G34" s="24">
        <f>(1+2)</f>
        <v>3</v>
      </c>
      <c r="H34" s="5"/>
      <c r="I34" s="3"/>
      <c r="J34" s="3">
        <f t="shared" ref="J34:J35" si="15">C34*E34*D34*G34</f>
        <v>2.0400000000000001E-2</v>
      </c>
      <c r="K34" s="22"/>
      <c r="M34" s="418">
        <v>3</v>
      </c>
      <c r="N34" s="125">
        <f t="shared" si="10"/>
        <v>0</v>
      </c>
      <c r="O34" s="404">
        <f t="shared" si="6"/>
        <v>0</v>
      </c>
    </row>
    <row r="35" spans="1:15" x14ac:dyDescent="0.25">
      <c r="A35" s="21" t="s">
        <v>212</v>
      </c>
      <c r="B35" s="2"/>
      <c r="C35" s="3">
        <v>0.2</v>
      </c>
      <c r="D35" s="3">
        <v>0.2</v>
      </c>
      <c r="E35" s="3">
        <v>0.17</v>
      </c>
      <c r="F35" s="3"/>
      <c r="G35" s="24">
        <f>1+3</f>
        <v>4</v>
      </c>
      <c r="H35" s="5"/>
      <c r="I35" s="3"/>
      <c r="J35" s="3">
        <f t="shared" si="15"/>
        <v>2.7200000000000002E-2</v>
      </c>
      <c r="K35" s="22"/>
      <c r="M35" s="418">
        <v>4</v>
      </c>
      <c r="N35" s="125">
        <f t="shared" ref="N35" si="16">M35-G35</f>
        <v>0</v>
      </c>
      <c r="O35" s="404">
        <f t="shared" ref="O35" si="17">N35/M35</f>
        <v>0</v>
      </c>
    </row>
    <row r="36" spans="1:15" x14ac:dyDescent="0.25">
      <c r="A36" s="21" t="s">
        <v>164</v>
      </c>
      <c r="B36" s="2"/>
      <c r="C36" s="3">
        <v>0.12</v>
      </c>
      <c r="D36" s="3">
        <v>0.12</v>
      </c>
      <c r="E36" s="3">
        <v>0.12</v>
      </c>
      <c r="F36" s="3"/>
      <c r="G36" s="24">
        <v>2</v>
      </c>
      <c r="H36" s="5"/>
      <c r="I36" s="3"/>
      <c r="J36" s="3">
        <f t="shared" si="9"/>
        <v>3.4559999999999999E-3</v>
      </c>
      <c r="K36" s="22" t="s">
        <v>406</v>
      </c>
      <c r="M36" s="418">
        <v>2</v>
      </c>
      <c r="N36" s="125">
        <f t="shared" si="10"/>
        <v>0</v>
      </c>
      <c r="O36" s="404">
        <f t="shared" si="6"/>
        <v>0</v>
      </c>
    </row>
    <row r="37" spans="1:15" x14ac:dyDescent="0.25">
      <c r="A37" s="11" t="s">
        <v>188</v>
      </c>
      <c r="B37" s="12" t="s">
        <v>35</v>
      </c>
      <c r="C37" s="13"/>
      <c r="D37" s="13"/>
      <c r="E37" s="13"/>
      <c r="F37" s="13"/>
      <c r="G37" s="45">
        <f>SUM(G38)</f>
        <v>1</v>
      </c>
      <c r="H37" s="17">
        <f>SUM(H38)</f>
        <v>1.0900000000000001</v>
      </c>
      <c r="I37" s="134"/>
      <c r="J37" s="18">
        <f>SUM(J38)</f>
        <v>0</v>
      </c>
      <c r="K37" s="19"/>
      <c r="M37" s="419"/>
      <c r="N37" s="14" t="s">
        <v>209</v>
      </c>
      <c r="O37" s="415" t="s">
        <v>209</v>
      </c>
    </row>
    <row r="38" spans="1:15" x14ac:dyDescent="0.25">
      <c r="A38" s="21" t="s">
        <v>324</v>
      </c>
      <c r="B38" s="2"/>
      <c r="C38" s="59">
        <v>2</v>
      </c>
      <c r="D38" s="59">
        <v>0.54500000000000004</v>
      </c>
      <c r="E38" s="59">
        <v>0</v>
      </c>
      <c r="F38" s="3"/>
      <c r="G38" s="24">
        <v>1</v>
      </c>
      <c r="H38" s="3">
        <f>C38*D38*G38</f>
        <v>1.0900000000000001</v>
      </c>
      <c r="I38" s="3"/>
      <c r="J38" s="3">
        <f>H38*E38</f>
        <v>0</v>
      </c>
      <c r="K38" s="22" t="s">
        <v>210</v>
      </c>
      <c r="M38" s="405"/>
      <c r="N38" s="25" t="s">
        <v>41</v>
      </c>
      <c r="O38" s="404"/>
    </row>
    <row r="39" spans="1:15" x14ac:dyDescent="0.25">
      <c r="A39" s="11" t="s">
        <v>157</v>
      </c>
      <c r="B39" s="12" t="s">
        <v>35</v>
      </c>
      <c r="C39" s="13"/>
      <c r="D39" s="13"/>
      <c r="E39" s="13"/>
      <c r="F39" s="13"/>
      <c r="G39" s="45">
        <f>SUM(G41)</f>
        <v>1</v>
      </c>
      <c r="H39" s="16"/>
      <c r="I39" s="17">
        <f>SUM(I40:I47)</f>
        <v>23.22</v>
      </c>
      <c r="J39" s="18">
        <f>SUM(J40:J47)</f>
        <v>0.51519999999999999</v>
      </c>
      <c r="K39" s="19"/>
      <c r="M39" s="419">
        <f>1.43+14.24+(N41*O41)+(N42*O42)</f>
        <v>23.17</v>
      </c>
      <c r="N39" s="14">
        <f>M39-I39</f>
        <v>-4.9999999999997158E-2</v>
      </c>
      <c r="O39" s="415">
        <f>N39/M39</f>
        <v>-2.157962883038289E-3</v>
      </c>
    </row>
    <row r="40" spans="1:15" x14ac:dyDescent="0.25">
      <c r="A40" s="46" t="s">
        <v>324</v>
      </c>
      <c r="B40" s="2"/>
      <c r="C40" s="59"/>
      <c r="D40" s="59"/>
      <c r="E40" s="59"/>
      <c r="F40" s="3"/>
      <c r="G40" s="24"/>
      <c r="H40" s="3"/>
      <c r="I40" s="3"/>
      <c r="J40" s="3"/>
      <c r="K40" s="22"/>
      <c r="M40" s="405"/>
      <c r="N40" s="25"/>
      <c r="O40" s="404"/>
    </row>
    <row r="41" spans="1:15" x14ac:dyDescent="0.25">
      <c r="A41" s="21" t="s">
        <v>158</v>
      </c>
      <c r="B41" s="2"/>
      <c r="C41" s="59">
        <v>2.84</v>
      </c>
      <c r="D41" s="59">
        <v>2</v>
      </c>
      <c r="E41" s="59"/>
      <c r="F41" s="3">
        <v>0.02</v>
      </c>
      <c r="G41" s="24">
        <v>1</v>
      </c>
      <c r="H41" s="3"/>
      <c r="I41" s="3">
        <f>C41*D41*G41</f>
        <v>5.68</v>
      </c>
      <c r="J41" s="3">
        <f>I41*F41</f>
        <v>0.11359999999999999</v>
      </c>
      <c r="K41" s="22"/>
      <c r="M41" s="463" t="s">
        <v>207</v>
      </c>
      <c r="N41" s="25">
        <f>0.6*1.7</f>
        <v>1.02</v>
      </c>
      <c r="O41" s="464">
        <v>1</v>
      </c>
    </row>
    <row r="42" spans="1:15" x14ac:dyDescent="0.25">
      <c r="A42" s="21" t="s">
        <v>159</v>
      </c>
      <c r="B42" s="2"/>
      <c r="C42" s="59">
        <v>2.8</v>
      </c>
      <c r="D42" s="59">
        <v>2</v>
      </c>
      <c r="E42" s="59"/>
      <c r="F42" s="3">
        <v>0.02</v>
      </c>
      <c r="G42" s="24">
        <v>1</v>
      </c>
      <c r="H42" s="3"/>
      <c r="I42" s="3">
        <f>C42*D42*G42</f>
        <v>5.6</v>
      </c>
      <c r="J42" s="3">
        <f>I42*F42</f>
        <v>0.11199999999999999</v>
      </c>
      <c r="K42" s="22"/>
      <c r="M42" s="463" t="s">
        <v>208</v>
      </c>
      <c r="N42" s="25">
        <f>0.6*1.8</f>
        <v>1.08</v>
      </c>
      <c r="O42" s="464">
        <v>6</v>
      </c>
    </row>
    <row r="43" spans="1:15" x14ac:dyDescent="0.25">
      <c r="A43" s="21" t="s">
        <v>160</v>
      </c>
      <c r="B43" s="2"/>
      <c r="C43" s="67">
        <v>1.175</v>
      </c>
      <c r="D43" s="59">
        <v>2</v>
      </c>
      <c r="E43" s="59"/>
      <c r="F43" s="3">
        <v>0.02</v>
      </c>
      <c r="G43" s="24">
        <v>4</v>
      </c>
      <c r="H43" s="3"/>
      <c r="I43" s="3">
        <f>C43*D43*G43</f>
        <v>9.4</v>
      </c>
      <c r="J43" s="3">
        <f>I43*F43</f>
        <v>0.188</v>
      </c>
      <c r="K43" s="22"/>
      <c r="M43" s="405"/>
      <c r="N43" s="25" t="s">
        <v>41</v>
      </c>
      <c r="O43" s="404"/>
    </row>
    <row r="44" spans="1:15" x14ac:dyDescent="0.25">
      <c r="A44" s="21"/>
      <c r="B44" s="2"/>
      <c r="C44" s="59"/>
      <c r="D44" s="59"/>
      <c r="E44" s="59"/>
      <c r="F44" s="3"/>
      <c r="G44" s="24"/>
      <c r="H44" s="3"/>
      <c r="I44" s="3"/>
      <c r="J44" s="3"/>
      <c r="K44" s="22"/>
      <c r="M44" s="405"/>
      <c r="N44" s="25"/>
      <c r="O44" s="406"/>
    </row>
    <row r="45" spans="1:15" x14ac:dyDescent="0.25">
      <c r="A45" s="46" t="s">
        <v>322</v>
      </c>
      <c r="B45" s="2"/>
      <c r="C45" s="59"/>
      <c r="D45" s="59"/>
      <c r="E45" s="59"/>
      <c r="F45" s="3"/>
      <c r="G45" s="24"/>
      <c r="H45" s="3"/>
      <c r="I45" s="3"/>
      <c r="J45" s="3"/>
      <c r="K45" s="22"/>
      <c r="M45" s="405"/>
      <c r="N45" s="25"/>
      <c r="O45" s="404"/>
    </row>
    <row r="46" spans="1:15" x14ac:dyDescent="0.25">
      <c r="A46" s="21" t="s">
        <v>161</v>
      </c>
      <c r="B46" s="2"/>
      <c r="C46" s="59">
        <v>1.27</v>
      </c>
      <c r="D46" s="59">
        <v>2</v>
      </c>
      <c r="E46" s="59"/>
      <c r="F46" s="3">
        <v>0.04</v>
      </c>
      <c r="G46" s="24">
        <v>1</v>
      </c>
      <c r="H46" s="3"/>
      <c r="I46" s="3">
        <f>C46*D46*G46</f>
        <v>2.54</v>
      </c>
      <c r="J46" s="3">
        <f>I46*F46</f>
        <v>0.10160000000000001</v>
      </c>
      <c r="K46" s="22"/>
      <c r="M46" s="405"/>
      <c r="N46" s="25" t="s">
        <v>41</v>
      </c>
      <c r="O46" s="404"/>
    </row>
    <row r="47" spans="1:15" x14ac:dyDescent="0.25">
      <c r="A47" s="21"/>
      <c r="B47" s="2"/>
      <c r="C47" s="59"/>
      <c r="D47" s="59"/>
      <c r="E47" s="59"/>
      <c r="F47" s="3"/>
      <c r="G47" s="24"/>
      <c r="H47" s="3"/>
      <c r="I47" s="3"/>
      <c r="J47" s="3"/>
      <c r="K47" s="22"/>
      <c r="M47" s="405"/>
      <c r="N47" s="25"/>
      <c r="O47" s="404"/>
    </row>
    <row r="48" spans="1:15" x14ac:dyDescent="0.25">
      <c r="A48" s="11" t="s">
        <v>196</v>
      </c>
      <c r="B48" s="12" t="s">
        <v>35</v>
      </c>
      <c r="C48" s="13"/>
      <c r="D48" s="13"/>
      <c r="E48" s="13"/>
      <c r="F48" s="13"/>
      <c r="G48" s="45"/>
      <c r="H48" s="17">
        <f>H49</f>
        <v>0.80800000000000005</v>
      </c>
      <c r="I48" s="13">
        <f>I49</f>
        <v>0.16160000000000002</v>
      </c>
      <c r="J48" s="18">
        <f>SUM(J49)</f>
        <v>4.8480000000000007E-3</v>
      </c>
      <c r="K48" s="19"/>
      <c r="M48" s="419">
        <v>0.16</v>
      </c>
      <c r="N48" s="13">
        <f>M48-I48</f>
        <v>-1.6000000000000181E-3</v>
      </c>
      <c r="O48" s="415">
        <f>N48/M48</f>
        <v>-1.0000000000000113E-2</v>
      </c>
    </row>
    <row r="49" spans="1:15" x14ac:dyDescent="0.25">
      <c r="A49" s="21" t="s">
        <v>197</v>
      </c>
      <c r="B49" s="2"/>
      <c r="C49" s="59">
        <v>0.80800000000000005</v>
      </c>
      <c r="D49" s="59">
        <v>0.2</v>
      </c>
      <c r="E49" s="59">
        <v>0.03</v>
      </c>
      <c r="F49" s="3"/>
      <c r="G49" s="24">
        <v>1</v>
      </c>
      <c r="H49" s="3">
        <f>G49*C49</f>
        <v>0.80800000000000005</v>
      </c>
      <c r="I49" s="3">
        <f>C49*D49*G49</f>
        <v>0.16160000000000002</v>
      </c>
      <c r="J49" s="3">
        <f>I49*E49</f>
        <v>4.8480000000000007E-3</v>
      </c>
      <c r="K49" s="22"/>
      <c r="M49" s="405"/>
      <c r="N49" s="25" t="s">
        <v>41</v>
      </c>
      <c r="O49" s="404"/>
    </row>
    <row r="50" spans="1:15" x14ac:dyDescent="0.25">
      <c r="A50" s="21"/>
      <c r="B50" s="2"/>
      <c r="C50" s="59"/>
      <c r="D50" s="59"/>
      <c r="E50" s="59"/>
      <c r="F50" s="3"/>
      <c r="G50" s="24"/>
      <c r="H50" s="3"/>
      <c r="I50" s="3"/>
      <c r="J50" s="3"/>
      <c r="K50" s="22"/>
      <c r="M50" s="405"/>
      <c r="N50" s="25"/>
      <c r="O50" s="404"/>
    </row>
    <row r="51" spans="1:15" x14ac:dyDescent="0.25">
      <c r="A51" s="11" t="s">
        <v>107</v>
      </c>
      <c r="B51" s="12" t="s">
        <v>35</v>
      </c>
      <c r="C51" s="13"/>
      <c r="D51" s="13"/>
      <c r="E51" s="13"/>
      <c r="F51" s="13"/>
      <c r="G51" s="45"/>
      <c r="H51" s="16"/>
      <c r="I51" s="17">
        <f>SUM(I52:I53)</f>
        <v>7.4728999999999992</v>
      </c>
      <c r="J51" s="18">
        <f>SUM(J52:J53)</f>
        <v>2.9891600000000001E-2</v>
      </c>
      <c r="K51" s="19"/>
      <c r="M51" s="419">
        <v>7.45</v>
      </c>
      <c r="N51" s="14">
        <f>M51-I51</f>
        <v>-2.2899999999999032E-2</v>
      </c>
      <c r="O51" s="415">
        <f>N51/M51</f>
        <v>-3.0738255033555748E-3</v>
      </c>
    </row>
    <row r="52" spans="1:15" x14ac:dyDescent="0.25">
      <c r="A52" s="57" t="s">
        <v>131</v>
      </c>
      <c r="B52" s="58"/>
      <c r="C52" s="67">
        <f>0.155+1.77+0.99+0.155</f>
        <v>3.07</v>
      </c>
      <c r="D52" s="59"/>
      <c r="E52" s="67">
        <v>4.0000000000000001E-3</v>
      </c>
      <c r="F52" s="59">
        <v>2.95</v>
      </c>
      <c r="G52" s="60"/>
      <c r="H52" s="59"/>
      <c r="I52" s="59">
        <f>C52*F52</f>
        <v>9.0564999999999998</v>
      </c>
      <c r="J52" s="59">
        <f>I52*E52</f>
        <v>3.6226000000000001E-2</v>
      </c>
      <c r="K52" s="61"/>
      <c r="M52" s="405"/>
      <c r="N52" s="25" t="s">
        <v>41</v>
      </c>
      <c r="O52" s="404"/>
    </row>
    <row r="53" spans="1:15" x14ac:dyDescent="0.25">
      <c r="A53" s="72" t="s">
        <v>96</v>
      </c>
      <c r="B53" s="73"/>
      <c r="C53" s="62">
        <v>0.74</v>
      </c>
      <c r="D53" s="62">
        <v>2.14</v>
      </c>
      <c r="E53" s="155">
        <v>4.0000000000000001E-3</v>
      </c>
      <c r="F53" s="63"/>
      <c r="G53" s="74">
        <v>1</v>
      </c>
      <c r="H53" s="63"/>
      <c r="I53" s="64">
        <f>C53*D53*G53*-1</f>
        <v>-1.5836000000000001</v>
      </c>
      <c r="J53" s="62">
        <f>I53*E53</f>
        <v>-6.3344000000000004E-3</v>
      </c>
      <c r="K53" s="65"/>
      <c r="M53" s="405"/>
      <c r="N53" s="25" t="s">
        <v>41</v>
      </c>
      <c r="O53" s="404"/>
    </row>
    <row r="54" spans="1:15" x14ac:dyDescent="0.25">
      <c r="A54" s="11" t="s">
        <v>26</v>
      </c>
      <c r="B54" s="12" t="s">
        <v>43</v>
      </c>
      <c r="C54" s="13"/>
      <c r="D54" s="13"/>
      <c r="E54" s="13"/>
      <c r="F54" s="13"/>
      <c r="G54" s="15"/>
      <c r="H54" s="16"/>
      <c r="I54" s="13">
        <f>SUM(I55:I65)</f>
        <v>4.6218000000000004</v>
      </c>
      <c r="J54" s="17">
        <f>SUM(J55:J65)</f>
        <v>1.201986</v>
      </c>
      <c r="K54" s="19"/>
      <c r="M54" s="419">
        <f>3.21+0.06</f>
        <v>3.27</v>
      </c>
      <c r="N54" s="14">
        <f>M54-I54</f>
        <v>-1.3518000000000003</v>
      </c>
      <c r="O54" s="415">
        <f>N54/M54</f>
        <v>-0.41339449541284412</v>
      </c>
    </row>
    <row r="55" spans="1:15" x14ac:dyDescent="0.25">
      <c r="A55" s="157" t="s">
        <v>190</v>
      </c>
      <c r="B55" s="161"/>
      <c r="C55" s="162"/>
      <c r="D55" s="160"/>
      <c r="E55" s="160"/>
      <c r="F55" s="160"/>
      <c r="G55" s="163"/>
      <c r="H55" s="164"/>
      <c r="I55" s="160"/>
      <c r="J55" s="160"/>
      <c r="K55" s="165"/>
      <c r="L55" s="166"/>
      <c r="M55" s="403"/>
      <c r="N55" s="162" t="s">
        <v>41</v>
      </c>
      <c r="O55" s="465"/>
    </row>
    <row r="56" spans="1:15" x14ac:dyDescent="0.25">
      <c r="A56" s="21" t="s">
        <v>108</v>
      </c>
      <c r="B56" s="2"/>
      <c r="C56" s="25">
        <v>0.87</v>
      </c>
      <c r="D56" s="3">
        <v>2.14</v>
      </c>
      <c r="E56" s="3">
        <v>0.27</v>
      </c>
      <c r="F56" s="3"/>
      <c r="G56" s="23"/>
      <c r="H56" s="5"/>
      <c r="I56" s="3">
        <f>C56*D56</f>
        <v>1.8618000000000001</v>
      </c>
      <c r="J56" s="3">
        <f>I56*E56</f>
        <v>0.50268600000000008</v>
      </c>
      <c r="K56" s="22"/>
      <c r="M56" s="565" t="s">
        <v>407</v>
      </c>
      <c r="N56" s="25"/>
      <c r="O56" s="404"/>
    </row>
    <row r="57" spans="1:15" x14ac:dyDescent="0.25">
      <c r="A57" s="21"/>
      <c r="B57" s="2"/>
      <c r="C57" s="25"/>
      <c r="D57" s="3"/>
      <c r="E57" s="3"/>
      <c r="F57" s="3"/>
      <c r="G57" s="23"/>
      <c r="H57" s="5"/>
      <c r="I57" s="3"/>
      <c r="J57" s="3"/>
      <c r="K57" s="22"/>
      <c r="M57" s="405"/>
      <c r="N57" s="25"/>
      <c r="O57" s="404"/>
    </row>
    <row r="58" spans="1:15" x14ac:dyDescent="0.25">
      <c r="A58" s="157" t="s">
        <v>192</v>
      </c>
      <c r="B58" s="161"/>
      <c r="C58" s="162"/>
      <c r="D58" s="160"/>
      <c r="E58" s="160"/>
      <c r="F58" s="160"/>
      <c r="G58" s="163"/>
      <c r="H58" s="164"/>
      <c r="I58" s="160"/>
      <c r="J58" s="160"/>
      <c r="K58" s="165"/>
      <c r="L58" s="166"/>
      <c r="M58" s="403"/>
      <c r="N58" s="162" t="s">
        <v>41</v>
      </c>
      <c r="O58" s="465"/>
    </row>
    <row r="59" spans="1:15" x14ac:dyDescent="0.25">
      <c r="A59" s="21" t="s">
        <v>193</v>
      </c>
      <c r="B59" s="2"/>
      <c r="C59" s="3">
        <v>1.9</v>
      </c>
      <c r="D59" s="3">
        <v>0.6</v>
      </c>
      <c r="E59" s="3">
        <v>0.26</v>
      </c>
      <c r="F59" s="3"/>
      <c r="G59" s="24"/>
      <c r="H59" s="5"/>
      <c r="I59" s="3">
        <f>C59*D59</f>
        <v>1.1399999999999999</v>
      </c>
      <c r="J59" s="3">
        <f>I59*E59</f>
        <v>0.2964</v>
      </c>
      <c r="K59" s="22"/>
      <c r="M59" s="405"/>
      <c r="N59" s="25" t="s">
        <v>41</v>
      </c>
      <c r="O59" s="404"/>
    </row>
    <row r="60" spans="1:15" x14ac:dyDescent="0.25">
      <c r="A60" s="21"/>
      <c r="B60" s="2"/>
      <c r="C60" s="3"/>
      <c r="D60" s="3"/>
      <c r="E60" s="3"/>
      <c r="F60" s="3"/>
      <c r="G60" s="24"/>
      <c r="H60" s="5"/>
      <c r="I60" s="3"/>
      <c r="J60" s="3"/>
      <c r="K60" s="22"/>
      <c r="M60" s="405"/>
      <c r="N60" s="25"/>
      <c r="O60" s="404"/>
    </row>
    <row r="61" spans="1:15" x14ac:dyDescent="0.25">
      <c r="A61" s="157" t="s">
        <v>191</v>
      </c>
      <c r="B61" s="161"/>
      <c r="C61" s="162"/>
      <c r="D61" s="160"/>
      <c r="E61" s="160"/>
      <c r="F61" s="160"/>
      <c r="G61" s="163"/>
      <c r="H61" s="164"/>
      <c r="I61" s="160"/>
      <c r="J61" s="160"/>
      <c r="K61" s="165"/>
      <c r="L61" s="166"/>
      <c r="M61" s="403"/>
      <c r="N61" s="162" t="s">
        <v>41</v>
      </c>
      <c r="O61" s="465"/>
    </row>
    <row r="62" spans="1:15" x14ac:dyDescent="0.25">
      <c r="A62" s="21" t="s">
        <v>108</v>
      </c>
      <c r="B62" s="2"/>
      <c r="C62" s="25">
        <f>0.2+0.8+0.2</f>
        <v>1.2</v>
      </c>
      <c r="D62" s="3">
        <v>0.2</v>
      </c>
      <c r="E62" s="3">
        <v>0.27</v>
      </c>
      <c r="F62" s="3"/>
      <c r="G62" s="23"/>
      <c r="H62" s="5"/>
      <c r="I62" s="3">
        <f>C62*D62</f>
        <v>0.24</v>
      </c>
      <c r="J62" s="3">
        <f t="shared" ref="J62:J63" si="18">I62*E62</f>
        <v>6.4799999999999996E-2</v>
      </c>
      <c r="K62" s="22"/>
      <c r="M62" s="405"/>
      <c r="N62" s="25" t="s">
        <v>41</v>
      </c>
      <c r="O62" s="404"/>
    </row>
    <row r="63" spans="1:15" x14ac:dyDescent="0.25">
      <c r="A63" s="21" t="s">
        <v>324</v>
      </c>
      <c r="B63" s="2"/>
      <c r="C63" s="25">
        <f>0.2+0.8+0.2</f>
        <v>1.2</v>
      </c>
      <c r="D63" s="3">
        <v>0.2</v>
      </c>
      <c r="E63" s="3">
        <v>0.27</v>
      </c>
      <c r="F63" s="3"/>
      <c r="G63" s="23"/>
      <c r="H63" s="5"/>
      <c r="I63" s="3">
        <f>C63*D63</f>
        <v>0.24</v>
      </c>
      <c r="J63" s="3">
        <f t="shared" si="18"/>
        <v>6.4799999999999996E-2</v>
      </c>
      <c r="K63" s="22"/>
      <c r="M63" s="405"/>
      <c r="N63" s="25" t="s">
        <v>41</v>
      </c>
      <c r="O63" s="404"/>
    </row>
    <row r="64" spans="1:15" x14ac:dyDescent="0.25">
      <c r="A64" s="21" t="s">
        <v>322</v>
      </c>
      <c r="B64" s="2"/>
      <c r="C64" s="25">
        <f>0.2+0.7+0.2</f>
        <v>1.0999999999999999</v>
      </c>
      <c r="D64" s="3">
        <v>0.2</v>
      </c>
      <c r="E64" s="3">
        <v>0.155</v>
      </c>
      <c r="F64" s="3"/>
      <c r="G64" s="23"/>
      <c r="H64" s="5"/>
      <c r="I64" s="3">
        <f>C64*D64</f>
        <v>0.21999999999999997</v>
      </c>
      <c r="J64" s="3">
        <f>I64*E64</f>
        <v>3.4099999999999998E-2</v>
      </c>
      <c r="K64" s="22"/>
      <c r="M64" s="405"/>
      <c r="N64" s="25" t="s">
        <v>41</v>
      </c>
      <c r="O64" s="404"/>
    </row>
    <row r="65" spans="1:15" x14ac:dyDescent="0.25">
      <c r="A65" s="21" t="s">
        <v>199</v>
      </c>
      <c r="B65" s="2"/>
      <c r="C65" s="3">
        <f>0.2+1.9+0.2</f>
        <v>2.3000000000000003</v>
      </c>
      <c r="D65" s="3">
        <v>0.2</v>
      </c>
      <c r="E65" s="3">
        <v>0.26</v>
      </c>
      <c r="F65" s="3"/>
      <c r="G65" s="24">
        <v>2</v>
      </c>
      <c r="H65" s="5"/>
      <c r="I65" s="3">
        <f>C65*D65*G65</f>
        <v>0.92000000000000015</v>
      </c>
      <c r="J65" s="3">
        <f>I65*E65</f>
        <v>0.23920000000000005</v>
      </c>
      <c r="K65" s="22"/>
      <c r="M65" s="405"/>
      <c r="N65" s="25" t="s">
        <v>41</v>
      </c>
      <c r="O65" s="404"/>
    </row>
    <row r="66" spans="1:15" ht="30" x14ac:dyDescent="0.25">
      <c r="A66" s="11" t="s">
        <v>28</v>
      </c>
      <c r="B66" s="12" t="s">
        <v>35</v>
      </c>
      <c r="C66" s="13"/>
      <c r="D66" s="13"/>
      <c r="E66" s="13"/>
      <c r="F66" s="13"/>
      <c r="G66" s="15"/>
      <c r="H66" s="16"/>
      <c r="I66" s="17">
        <f>SUM(I67:I115)</f>
        <v>149.15066801445823</v>
      </c>
      <c r="J66" s="18">
        <f>SUM(J67:J115)</f>
        <v>2.9830133602891653</v>
      </c>
      <c r="K66" s="1" t="s">
        <v>339</v>
      </c>
      <c r="M66" s="419">
        <f>M67+M108</f>
        <v>155.61000000000001</v>
      </c>
      <c r="N66" s="14">
        <f>M66-I66</f>
        <v>6.4593319855417803</v>
      </c>
      <c r="O66" s="415">
        <f>N66/M66</f>
        <v>4.1509748637888179E-2</v>
      </c>
    </row>
    <row r="67" spans="1:15" x14ac:dyDescent="0.25">
      <c r="A67" s="183" t="s">
        <v>44</v>
      </c>
      <c r="B67" s="184"/>
      <c r="C67" s="180"/>
      <c r="D67" s="180"/>
      <c r="E67" s="180"/>
      <c r="F67" s="180"/>
      <c r="G67" s="185"/>
      <c r="H67" s="186"/>
      <c r="I67" s="180"/>
      <c r="J67" s="180"/>
      <c r="K67" s="178"/>
      <c r="L67" s="179"/>
      <c r="M67" s="429">
        <f>124.06+1.14</f>
        <v>125.2</v>
      </c>
      <c r="N67" s="181">
        <f>M67-SUM(I68:I107)</f>
        <v>6.456111985541753</v>
      </c>
      <c r="O67" s="430">
        <f>N67/M67</f>
        <v>5.1566389660876621E-2</v>
      </c>
    </row>
    <row r="68" spans="1:15" x14ac:dyDescent="0.25">
      <c r="A68" s="157" t="s">
        <v>194</v>
      </c>
      <c r="B68" s="2"/>
      <c r="C68" s="3"/>
      <c r="D68" s="3"/>
      <c r="E68" s="3"/>
      <c r="F68" s="3"/>
      <c r="G68" s="23"/>
      <c r="H68" s="5"/>
      <c r="I68" s="3"/>
      <c r="J68" s="3"/>
      <c r="K68" s="22"/>
      <c r="M68" s="405"/>
      <c r="N68" s="25"/>
      <c r="O68" s="404"/>
    </row>
    <row r="69" spans="1:15" x14ac:dyDescent="0.25">
      <c r="A69" s="21" t="s">
        <v>195</v>
      </c>
      <c r="B69" s="2"/>
      <c r="C69" s="59">
        <v>2.9</v>
      </c>
      <c r="D69" s="59">
        <v>0.6</v>
      </c>
      <c r="E69" s="59">
        <v>0.02</v>
      </c>
      <c r="F69" s="3"/>
      <c r="G69" s="24"/>
      <c r="H69" s="3"/>
      <c r="I69" s="3">
        <f>C69*D69</f>
        <v>1.74</v>
      </c>
      <c r="J69" s="3">
        <f>I69*E69</f>
        <v>3.4799999999999998E-2</v>
      </c>
      <c r="K69" s="22"/>
      <c r="M69" s="405"/>
      <c r="N69" s="25" t="s">
        <v>41</v>
      </c>
      <c r="O69" s="404"/>
    </row>
    <row r="70" spans="1:15" x14ac:dyDescent="0.25">
      <c r="A70" s="21" t="s">
        <v>340</v>
      </c>
      <c r="B70" s="2"/>
      <c r="C70" s="59">
        <f>2.9+0.2+0.2</f>
        <v>3.3000000000000003</v>
      </c>
      <c r="D70" s="59">
        <v>0.2</v>
      </c>
      <c r="E70" s="59">
        <v>0.02</v>
      </c>
      <c r="F70" s="3"/>
      <c r="G70" s="24">
        <v>2</v>
      </c>
      <c r="H70" s="3"/>
      <c r="I70" s="3">
        <f>C70*D70*G70</f>
        <v>1.3200000000000003</v>
      </c>
      <c r="J70" s="3">
        <f>I70*E70</f>
        <v>2.6400000000000007E-2</v>
      </c>
      <c r="K70" s="22"/>
      <c r="M70" s="405"/>
      <c r="N70" s="25" t="s">
        <v>41</v>
      </c>
      <c r="O70" s="404"/>
    </row>
    <row r="71" spans="1:15" x14ac:dyDescent="0.25">
      <c r="A71" s="21"/>
      <c r="B71" s="2"/>
      <c r="C71" s="59"/>
      <c r="D71" s="59"/>
      <c r="E71" s="59"/>
      <c r="F71" s="3"/>
      <c r="G71" s="24"/>
      <c r="H71" s="3"/>
      <c r="I71" s="3"/>
      <c r="J71" s="3"/>
      <c r="K71" s="22"/>
      <c r="M71" s="405"/>
      <c r="N71" s="25"/>
      <c r="O71" s="404"/>
    </row>
    <row r="72" spans="1:15" x14ac:dyDescent="0.25">
      <c r="A72" s="157" t="s">
        <v>322</v>
      </c>
      <c r="B72" s="2"/>
      <c r="C72" s="3"/>
      <c r="D72" s="3"/>
      <c r="E72" s="3"/>
      <c r="F72" s="3"/>
      <c r="G72" s="23"/>
      <c r="H72" s="5"/>
      <c r="I72" s="3"/>
      <c r="J72" s="3"/>
      <c r="K72" s="22"/>
      <c r="M72" s="405"/>
      <c r="N72" s="25"/>
      <c r="O72" s="404"/>
    </row>
    <row r="73" spans="1:15" x14ac:dyDescent="0.25">
      <c r="A73" s="21" t="s">
        <v>29</v>
      </c>
      <c r="B73" s="2"/>
      <c r="C73" s="59">
        <v>1.27</v>
      </c>
      <c r="D73" s="59">
        <v>3</v>
      </c>
      <c r="E73" s="59">
        <v>0.02</v>
      </c>
      <c r="F73" s="3"/>
      <c r="G73" s="24"/>
      <c r="H73" s="3"/>
      <c r="I73" s="3">
        <f>C73*D73</f>
        <v>3.81</v>
      </c>
      <c r="J73" s="3">
        <f t="shared" ref="J73" si="19">I73*E73</f>
        <v>7.6200000000000004E-2</v>
      </c>
      <c r="K73" s="22"/>
      <c r="M73" s="405"/>
      <c r="N73" s="25" t="s">
        <v>41</v>
      </c>
      <c r="O73" s="404"/>
    </row>
    <row r="74" spans="1:15" x14ac:dyDescent="0.25">
      <c r="A74" s="21" t="s">
        <v>27</v>
      </c>
      <c r="B74" s="2"/>
      <c r="C74" s="59">
        <v>1.27</v>
      </c>
      <c r="D74" s="59">
        <v>3</v>
      </c>
      <c r="E74" s="59">
        <v>0.02</v>
      </c>
      <c r="F74" s="3"/>
      <c r="G74" s="24"/>
      <c r="H74" s="3"/>
      <c r="I74" s="3">
        <f>C74*D74</f>
        <v>3.81</v>
      </c>
      <c r="J74" s="3">
        <f t="shared" ref="J74" si="20">I74*E74</f>
        <v>7.6200000000000004E-2</v>
      </c>
      <c r="K74" s="22"/>
      <c r="M74" s="405"/>
      <c r="N74" s="25" t="s">
        <v>41</v>
      </c>
      <c r="O74" s="404"/>
    </row>
    <row r="75" spans="1:15" x14ac:dyDescent="0.25">
      <c r="A75" s="21" t="s">
        <v>17</v>
      </c>
      <c r="B75" s="2"/>
      <c r="C75" s="59">
        <v>2.77</v>
      </c>
      <c r="D75" s="59">
        <v>3</v>
      </c>
      <c r="E75" s="59">
        <v>0.02</v>
      </c>
      <c r="F75" s="3"/>
      <c r="G75" s="24"/>
      <c r="H75" s="3"/>
      <c r="I75" s="3">
        <f>C75*D75</f>
        <v>8.31</v>
      </c>
      <c r="J75" s="3">
        <f t="shared" ref="J75:J76" si="21">I75*E75</f>
        <v>0.16620000000000001</v>
      </c>
      <c r="K75" s="22"/>
      <c r="M75" s="405"/>
      <c r="N75" s="25" t="s">
        <v>41</v>
      </c>
      <c r="O75" s="404"/>
    </row>
    <row r="76" spans="1:15" x14ac:dyDescent="0.25">
      <c r="A76" s="29" t="s">
        <v>106</v>
      </c>
      <c r="B76" s="30"/>
      <c r="C76" s="26">
        <v>0.74</v>
      </c>
      <c r="D76" s="26">
        <v>2.14</v>
      </c>
      <c r="E76" s="26">
        <v>0.02</v>
      </c>
      <c r="F76" s="26"/>
      <c r="G76" s="27">
        <v>1</v>
      </c>
      <c r="H76" s="135"/>
      <c r="I76" s="28">
        <f>-C76*D76*G76</f>
        <v>-1.5836000000000001</v>
      </c>
      <c r="J76" s="28">
        <f t="shared" si="21"/>
        <v>-3.1672000000000006E-2</v>
      </c>
      <c r="K76" s="31"/>
      <c r="M76" s="405"/>
      <c r="N76" s="25" t="s">
        <v>41</v>
      </c>
      <c r="O76" s="404"/>
    </row>
    <row r="77" spans="1:15" x14ac:dyDescent="0.25">
      <c r="A77" s="21" t="s">
        <v>18</v>
      </c>
      <c r="B77" s="2"/>
      <c r="C77" s="59">
        <v>2.77</v>
      </c>
      <c r="D77" s="59">
        <v>3</v>
      </c>
      <c r="E77" s="59">
        <v>0.02</v>
      </c>
      <c r="F77" s="3"/>
      <c r="G77" s="24"/>
      <c r="H77" s="3"/>
      <c r="I77" s="3">
        <f>C77*D77</f>
        <v>8.31</v>
      </c>
      <c r="J77" s="3">
        <f t="shared" ref="J77" si="22">I77*E77</f>
        <v>0.16620000000000001</v>
      </c>
      <c r="K77" s="22"/>
      <c r="M77" s="405"/>
      <c r="N77" s="25" t="s">
        <v>41</v>
      </c>
      <c r="O77" s="404"/>
    </row>
    <row r="78" spans="1:15" x14ac:dyDescent="0.25">
      <c r="A78" s="29" t="s">
        <v>167</v>
      </c>
      <c r="B78" s="30"/>
      <c r="C78" s="26">
        <v>0.28999999999999998</v>
      </c>
      <c r="D78" s="26"/>
      <c r="E78" s="26">
        <v>0.02</v>
      </c>
      <c r="F78" s="26"/>
      <c r="G78" s="27">
        <v>1</v>
      </c>
      <c r="H78" s="135"/>
      <c r="I78" s="28">
        <f>-0.25*PI()*C78*C78*G78</f>
        <v>-6.6051985541725394E-2</v>
      </c>
      <c r="J78" s="28">
        <f>I78*E78</f>
        <v>-1.321039710834508E-3</v>
      </c>
      <c r="K78" s="31"/>
      <c r="M78" s="405"/>
      <c r="N78" s="25" t="s">
        <v>41</v>
      </c>
      <c r="O78" s="404"/>
    </row>
    <row r="79" spans="1:15" x14ac:dyDescent="0.25">
      <c r="A79" s="29" t="s">
        <v>193</v>
      </c>
      <c r="B79" s="30"/>
      <c r="C79" s="26">
        <v>1.9</v>
      </c>
      <c r="D79" s="26">
        <v>0.6</v>
      </c>
      <c r="E79" s="26">
        <v>0.02</v>
      </c>
      <c r="F79" s="26"/>
      <c r="G79" s="27">
        <v>1</v>
      </c>
      <c r="H79" s="135"/>
      <c r="I79" s="28">
        <f>-C79*D79*G79</f>
        <v>-1.1399999999999999</v>
      </c>
      <c r="J79" s="28">
        <f>I79*E79</f>
        <v>-2.2799999999999997E-2</v>
      </c>
      <c r="K79" s="31"/>
      <c r="M79" s="405"/>
      <c r="N79" s="25" t="s">
        <v>41</v>
      </c>
      <c r="O79" s="404"/>
    </row>
    <row r="80" spans="1:15" x14ac:dyDescent="0.25">
      <c r="A80" s="29" t="s">
        <v>199</v>
      </c>
      <c r="B80" s="30"/>
      <c r="C80" s="26">
        <f>0.2+1.9+0.2</f>
        <v>2.3000000000000003</v>
      </c>
      <c r="D80" s="26">
        <v>0.2</v>
      </c>
      <c r="E80" s="26">
        <v>0.02</v>
      </c>
      <c r="F80" s="26"/>
      <c r="G80" s="27">
        <v>2</v>
      </c>
      <c r="H80" s="135"/>
      <c r="I80" s="28">
        <f>-C80*D80*G80</f>
        <v>-0.92000000000000015</v>
      </c>
      <c r="J80" s="28">
        <f>I80*E80</f>
        <v>-1.8400000000000003E-2</v>
      </c>
      <c r="K80" s="31"/>
      <c r="M80" s="405"/>
      <c r="N80" s="25" t="s">
        <v>41</v>
      </c>
      <c r="O80" s="404"/>
    </row>
    <row r="81" spans="1:15" x14ac:dyDescent="0.25">
      <c r="A81" s="46"/>
      <c r="B81" s="2"/>
      <c r="C81" s="3"/>
      <c r="D81" s="3"/>
      <c r="E81" s="3"/>
      <c r="F81" s="3"/>
      <c r="G81" s="23"/>
      <c r="H81" s="5"/>
      <c r="I81" s="3"/>
      <c r="J81" s="3"/>
      <c r="K81" s="22"/>
      <c r="M81" s="405"/>
      <c r="N81" s="25"/>
      <c r="O81" s="404"/>
    </row>
    <row r="82" spans="1:15" x14ac:dyDescent="0.25">
      <c r="A82" s="157" t="s">
        <v>324</v>
      </c>
      <c r="B82" s="2"/>
      <c r="C82" s="3"/>
      <c r="D82" s="3"/>
      <c r="E82" s="3"/>
      <c r="F82" s="3"/>
      <c r="G82" s="23"/>
      <c r="H82" s="5"/>
      <c r="I82" s="3"/>
      <c r="J82" s="3"/>
      <c r="K82" s="22"/>
      <c r="M82" s="405"/>
      <c r="N82" s="25"/>
      <c r="O82" s="404"/>
    </row>
    <row r="83" spans="1:15" x14ac:dyDescent="0.25">
      <c r="A83" s="21" t="s">
        <v>29</v>
      </c>
      <c r="B83" s="2"/>
      <c r="C83" s="59">
        <v>2.84</v>
      </c>
      <c r="D83" s="59">
        <v>3</v>
      </c>
      <c r="E83" s="59">
        <v>0.02</v>
      </c>
      <c r="F83" s="3"/>
      <c r="G83" s="24"/>
      <c r="H83" s="3"/>
      <c r="I83" s="3">
        <f>C83*D83</f>
        <v>8.52</v>
      </c>
      <c r="J83" s="3">
        <f t="shared" ref="J83:J90" si="23">I83*E83</f>
        <v>0.1704</v>
      </c>
      <c r="K83" s="22"/>
      <c r="M83" s="405"/>
      <c r="N83" s="25" t="s">
        <v>41</v>
      </c>
      <c r="O83" s="404"/>
    </row>
    <row r="84" spans="1:15" x14ac:dyDescent="0.25">
      <c r="A84" s="29" t="s">
        <v>45</v>
      </c>
      <c r="B84" s="30"/>
      <c r="C84" s="26">
        <v>2.84</v>
      </c>
      <c r="D84" s="26">
        <v>0.6</v>
      </c>
      <c r="E84" s="26">
        <v>0.02</v>
      </c>
      <c r="F84" s="26"/>
      <c r="G84" s="27">
        <v>1</v>
      </c>
      <c r="H84" s="135"/>
      <c r="I84" s="28">
        <f>-C84*D84*G84</f>
        <v>-1.704</v>
      </c>
      <c r="J84" s="28">
        <f t="shared" ref="J84" si="24">I84*E84</f>
        <v>-3.4079999999999999E-2</v>
      </c>
      <c r="K84" s="31"/>
      <c r="M84" s="405"/>
      <c r="N84" s="25" t="s">
        <v>41</v>
      </c>
      <c r="O84" s="404"/>
    </row>
    <row r="85" spans="1:15" x14ac:dyDescent="0.25">
      <c r="A85" s="21" t="s">
        <v>27</v>
      </c>
      <c r="B85" s="2"/>
      <c r="C85" s="59">
        <v>2.84</v>
      </c>
      <c r="D85" s="59">
        <v>3</v>
      </c>
      <c r="E85" s="59">
        <v>0.02</v>
      </c>
      <c r="F85" s="3"/>
      <c r="G85" s="24"/>
      <c r="H85" s="3"/>
      <c r="I85" s="3">
        <f>C85*D85</f>
        <v>8.52</v>
      </c>
      <c r="J85" s="3">
        <f t="shared" si="23"/>
        <v>0.1704</v>
      </c>
      <c r="K85" s="22"/>
      <c r="M85" s="405"/>
      <c r="N85" s="25" t="s">
        <v>41</v>
      </c>
      <c r="O85" s="404"/>
    </row>
    <row r="86" spans="1:15" x14ac:dyDescent="0.25">
      <c r="A86" s="29" t="s">
        <v>106</v>
      </c>
      <c r="B86" s="30"/>
      <c r="C86" s="26">
        <v>0.74</v>
      </c>
      <c r="D86" s="26">
        <v>2.14</v>
      </c>
      <c r="E86" s="26">
        <v>0.02</v>
      </c>
      <c r="F86" s="26"/>
      <c r="G86" s="27">
        <v>1</v>
      </c>
      <c r="H86" s="135"/>
      <c r="I86" s="28">
        <f>-C86*D86*G86</f>
        <v>-1.5836000000000001</v>
      </c>
      <c r="J86" s="28">
        <f t="shared" ref="J86" si="25">I86*E86</f>
        <v>-3.1672000000000006E-2</v>
      </c>
      <c r="K86" s="31"/>
      <c r="M86" s="405"/>
      <c r="N86" s="25" t="s">
        <v>41</v>
      </c>
      <c r="O86" s="404"/>
    </row>
    <row r="87" spans="1:15" x14ac:dyDescent="0.25">
      <c r="A87" s="21" t="s">
        <v>17</v>
      </c>
      <c r="B87" s="2"/>
      <c r="C87" s="59">
        <v>4.78</v>
      </c>
      <c r="D87" s="59">
        <v>3</v>
      </c>
      <c r="E87" s="59">
        <v>0.02</v>
      </c>
      <c r="F87" s="3"/>
      <c r="G87" s="24"/>
      <c r="H87" s="3"/>
      <c r="I87" s="3">
        <f>C87*D87</f>
        <v>14.34</v>
      </c>
      <c r="J87" s="3">
        <f t="shared" si="23"/>
        <v>0.2868</v>
      </c>
      <c r="K87" s="22"/>
      <c r="M87" s="405"/>
      <c r="N87" s="25" t="s">
        <v>41</v>
      </c>
      <c r="O87" s="404"/>
    </row>
    <row r="88" spans="1:15" x14ac:dyDescent="0.25">
      <c r="A88" s="29" t="s">
        <v>134</v>
      </c>
      <c r="B88" s="30"/>
      <c r="C88" s="26">
        <v>0.80800000000000005</v>
      </c>
      <c r="D88" s="26">
        <v>2.11</v>
      </c>
      <c r="E88" s="26">
        <v>0.02</v>
      </c>
      <c r="F88" s="26"/>
      <c r="G88" s="27">
        <v>1</v>
      </c>
      <c r="H88" s="135"/>
      <c r="I88" s="28">
        <f>-C88*D88*G88</f>
        <v>-1.70488</v>
      </c>
      <c r="J88" s="28">
        <f t="shared" si="23"/>
        <v>-3.4097599999999999E-2</v>
      </c>
      <c r="K88" s="31"/>
      <c r="M88" s="405"/>
      <c r="N88" s="25" t="s">
        <v>41</v>
      </c>
      <c r="O88" s="404"/>
    </row>
    <row r="89" spans="1:15" x14ac:dyDescent="0.25">
      <c r="A89" s="21" t="s">
        <v>18</v>
      </c>
      <c r="B89" s="2"/>
      <c r="C89" s="59">
        <v>4.78</v>
      </c>
      <c r="D89" s="59">
        <v>3</v>
      </c>
      <c r="E89" s="59">
        <v>0.02</v>
      </c>
      <c r="F89" s="3"/>
      <c r="G89" s="24"/>
      <c r="H89" s="3"/>
      <c r="I89" s="3">
        <f>C89*D89</f>
        <v>14.34</v>
      </c>
      <c r="J89" s="3">
        <f t="shared" si="23"/>
        <v>0.2868</v>
      </c>
      <c r="K89" s="22"/>
      <c r="M89" s="405"/>
      <c r="N89" s="25" t="s">
        <v>41</v>
      </c>
      <c r="O89" s="404"/>
    </row>
    <row r="90" spans="1:15" x14ac:dyDescent="0.25">
      <c r="A90" s="29" t="s">
        <v>133</v>
      </c>
      <c r="B90" s="30"/>
      <c r="C90" s="26">
        <v>2.0750000000000002</v>
      </c>
      <c r="D90" s="26">
        <v>0.16</v>
      </c>
      <c r="E90" s="26">
        <v>0.02</v>
      </c>
      <c r="F90" s="26"/>
      <c r="G90" s="27">
        <v>1</v>
      </c>
      <c r="H90" s="135"/>
      <c r="I90" s="28">
        <f>-C90*D90*G90</f>
        <v>-0.33200000000000002</v>
      </c>
      <c r="J90" s="28">
        <f t="shared" si="23"/>
        <v>-6.6400000000000001E-3</v>
      </c>
      <c r="K90" s="31"/>
      <c r="M90" s="405"/>
      <c r="N90" s="25" t="s">
        <v>41</v>
      </c>
      <c r="O90" s="404"/>
    </row>
    <row r="91" spans="1:15" x14ac:dyDescent="0.25">
      <c r="A91" s="21" t="s">
        <v>133</v>
      </c>
      <c r="B91" s="2"/>
      <c r="C91" s="59">
        <v>1.6</v>
      </c>
      <c r="D91" s="59">
        <v>0.15</v>
      </c>
      <c r="E91" s="59">
        <v>0.02</v>
      </c>
      <c r="F91" s="3">
        <v>2.11</v>
      </c>
      <c r="G91" s="24"/>
      <c r="H91" s="3">
        <f>C91+D91+C91</f>
        <v>3.35</v>
      </c>
      <c r="I91" s="3">
        <f>H91*F91</f>
        <v>7.0684999999999993</v>
      </c>
      <c r="J91" s="3">
        <f>I91*E91</f>
        <v>0.14137</v>
      </c>
      <c r="K91" s="22"/>
      <c r="M91" s="405"/>
      <c r="N91" s="25" t="s">
        <v>41</v>
      </c>
      <c r="O91" s="404"/>
    </row>
    <row r="92" spans="1:15" x14ac:dyDescent="0.25">
      <c r="A92" s="21" t="s">
        <v>134</v>
      </c>
      <c r="B92" s="2"/>
      <c r="C92" s="59">
        <v>0.80600000000000005</v>
      </c>
      <c r="D92" s="59">
        <v>2</v>
      </c>
      <c r="E92" s="59">
        <v>0.02</v>
      </c>
      <c r="F92" s="3">
        <v>0.2</v>
      </c>
      <c r="G92" s="24"/>
      <c r="H92" s="3">
        <f>C92+D92+D92</f>
        <v>4.806</v>
      </c>
      <c r="I92" s="3">
        <f>H92*F92</f>
        <v>0.96120000000000005</v>
      </c>
      <c r="J92" s="3">
        <f>I92*E92</f>
        <v>1.9224000000000002E-2</v>
      </c>
      <c r="K92" s="22"/>
      <c r="M92" s="405"/>
      <c r="N92" s="25" t="s">
        <v>41</v>
      </c>
      <c r="O92" s="404"/>
    </row>
    <row r="93" spans="1:15" x14ac:dyDescent="0.25">
      <c r="A93" s="46"/>
      <c r="B93" s="2"/>
      <c r="C93" s="3"/>
      <c r="D93" s="3"/>
      <c r="E93" s="3"/>
      <c r="F93" s="3"/>
      <c r="G93" s="23"/>
      <c r="H93" s="5"/>
      <c r="I93" s="3"/>
      <c r="J93" s="3"/>
      <c r="K93" s="22"/>
      <c r="M93" s="405"/>
      <c r="N93" s="25"/>
      <c r="O93" s="404"/>
    </row>
    <row r="94" spans="1:15" x14ac:dyDescent="0.25">
      <c r="A94" s="157" t="s">
        <v>341</v>
      </c>
      <c r="B94" s="2"/>
      <c r="C94" s="3"/>
      <c r="D94" s="3"/>
      <c r="E94" s="3"/>
      <c r="F94" s="3"/>
      <c r="G94" s="23"/>
      <c r="H94" s="5"/>
      <c r="I94" s="3"/>
      <c r="J94" s="3"/>
      <c r="K94" s="22"/>
      <c r="M94" s="405"/>
      <c r="N94" s="25"/>
      <c r="O94" s="404"/>
    </row>
    <row r="95" spans="1:15" x14ac:dyDescent="0.25">
      <c r="A95" s="21" t="s">
        <v>29</v>
      </c>
      <c r="B95" s="2"/>
      <c r="C95" s="59">
        <f>2.84+0.2+0.8</f>
        <v>3.84</v>
      </c>
      <c r="D95" s="59">
        <v>2.95</v>
      </c>
      <c r="E95" s="59">
        <v>0.02</v>
      </c>
      <c r="F95" s="3"/>
      <c r="G95" s="24"/>
      <c r="H95" s="3"/>
      <c r="I95" s="3">
        <f>C95*D95</f>
        <v>11.327999999999999</v>
      </c>
      <c r="J95" s="3">
        <f t="shared" ref="J95:J96" si="26">I95*E95</f>
        <v>0.22655999999999998</v>
      </c>
      <c r="K95" s="22"/>
      <c r="M95" s="405"/>
      <c r="N95" s="25" t="s">
        <v>41</v>
      </c>
      <c r="O95" s="404"/>
    </row>
    <row r="96" spans="1:15" x14ac:dyDescent="0.25">
      <c r="A96" s="29" t="s">
        <v>165</v>
      </c>
      <c r="B96" s="30"/>
      <c r="C96" s="26">
        <v>0.74</v>
      </c>
      <c r="D96" s="26">
        <v>2.14</v>
      </c>
      <c r="E96" s="26">
        <v>0.02</v>
      </c>
      <c r="F96" s="26"/>
      <c r="G96" s="27">
        <v>1</v>
      </c>
      <c r="H96" s="135"/>
      <c r="I96" s="28">
        <f>-C96*D96*G96</f>
        <v>-1.5836000000000001</v>
      </c>
      <c r="J96" s="28">
        <f t="shared" si="26"/>
        <v>-3.1672000000000006E-2</v>
      </c>
      <c r="K96" s="31"/>
      <c r="M96" s="405"/>
      <c r="N96" s="25" t="s">
        <v>41</v>
      </c>
      <c r="O96" s="404"/>
    </row>
    <row r="97" spans="1:15" x14ac:dyDescent="0.25">
      <c r="A97" s="29" t="s">
        <v>198</v>
      </c>
      <c r="B97" s="30"/>
      <c r="C97" s="26">
        <v>0.84</v>
      </c>
      <c r="D97" s="26">
        <v>2.14</v>
      </c>
      <c r="E97" s="26">
        <v>0.02</v>
      </c>
      <c r="F97" s="26"/>
      <c r="G97" s="27">
        <v>1</v>
      </c>
      <c r="H97" s="135"/>
      <c r="I97" s="28">
        <f>-C97*D97*G97</f>
        <v>-1.7976000000000001</v>
      </c>
      <c r="J97" s="28">
        <f t="shared" ref="J97" si="27">I97*E97</f>
        <v>-3.5952000000000005E-2</v>
      </c>
      <c r="K97" s="31"/>
      <c r="M97" s="405"/>
      <c r="N97" s="25" t="s">
        <v>41</v>
      </c>
      <c r="O97" s="404"/>
    </row>
    <row r="98" spans="1:15" x14ac:dyDescent="0.25">
      <c r="A98" s="46"/>
      <c r="B98" s="2"/>
      <c r="C98" s="3"/>
      <c r="D98" s="3"/>
      <c r="E98" s="3"/>
      <c r="F98" s="3"/>
      <c r="G98" s="23"/>
      <c r="H98" s="5"/>
      <c r="I98" s="3"/>
      <c r="J98" s="3"/>
      <c r="K98" s="22"/>
      <c r="M98" s="405"/>
      <c r="N98" s="25"/>
      <c r="O98" s="404"/>
    </row>
    <row r="99" spans="1:15" x14ac:dyDescent="0.25">
      <c r="A99" s="157" t="s">
        <v>333</v>
      </c>
      <c r="B99" s="2"/>
      <c r="C99" s="3"/>
      <c r="D99" s="3"/>
      <c r="E99" s="3"/>
      <c r="F99" s="3"/>
      <c r="G99" s="23"/>
      <c r="H99" s="5"/>
      <c r="I99" s="3"/>
      <c r="J99" s="3"/>
      <c r="K99" s="22"/>
      <c r="M99" s="405"/>
      <c r="N99" s="25"/>
      <c r="O99" s="404"/>
    </row>
    <row r="100" spans="1:15" x14ac:dyDescent="0.25">
      <c r="A100" s="21" t="s">
        <v>29</v>
      </c>
      <c r="B100" s="2"/>
      <c r="C100" s="59">
        <v>2.8</v>
      </c>
      <c r="D100" s="59">
        <v>2.9</v>
      </c>
      <c r="E100" s="59">
        <v>0.02</v>
      </c>
      <c r="F100" s="3"/>
      <c r="G100" s="24"/>
      <c r="H100" s="3"/>
      <c r="I100" s="3">
        <f>C100*D100</f>
        <v>8.1199999999999992</v>
      </c>
      <c r="J100" s="3">
        <f t="shared" ref="J100:J105" si="28">I100*E100</f>
        <v>0.16239999999999999</v>
      </c>
      <c r="K100" s="22"/>
      <c r="M100" s="405"/>
      <c r="N100" s="25" t="s">
        <v>41</v>
      </c>
      <c r="O100" s="404"/>
    </row>
    <row r="101" spans="1:15" x14ac:dyDescent="0.25">
      <c r="A101" s="29" t="s">
        <v>45</v>
      </c>
      <c r="B101" s="30"/>
      <c r="C101" s="26">
        <v>2.8</v>
      </c>
      <c r="D101" s="26">
        <v>0.6</v>
      </c>
      <c r="E101" s="26">
        <v>0.02</v>
      </c>
      <c r="F101" s="26"/>
      <c r="G101" s="27">
        <v>1</v>
      </c>
      <c r="H101" s="135"/>
      <c r="I101" s="28">
        <f>-C101*D101*G101</f>
        <v>-1.68</v>
      </c>
      <c r="J101" s="28">
        <f t="shared" si="28"/>
        <v>-3.3599999999999998E-2</v>
      </c>
      <c r="K101" s="31"/>
      <c r="M101" s="405"/>
      <c r="N101" s="25" t="s">
        <v>41</v>
      </c>
      <c r="O101" s="404"/>
    </row>
    <row r="102" spans="1:15" x14ac:dyDescent="0.25">
      <c r="A102" s="21" t="s">
        <v>27</v>
      </c>
      <c r="B102" s="2"/>
      <c r="C102" s="59">
        <v>2.8</v>
      </c>
      <c r="D102" s="59">
        <v>2.9</v>
      </c>
      <c r="E102" s="59">
        <v>0.02</v>
      </c>
      <c r="F102" s="3"/>
      <c r="G102" s="24"/>
      <c r="H102" s="3"/>
      <c r="I102" s="3">
        <f>C102*D102</f>
        <v>8.1199999999999992</v>
      </c>
      <c r="J102" s="3">
        <f t="shared" si="28"/>
        <v>0.16239999999999999</v>
      </c>
      <c r="K102" s="22"/>
      <c r="M102" s="405"/>
      <c r="N102" s="25" t="s">
        <v>41</v>
      </c>
      <c r="O102" s="404"/>
    </row>
    <row r="103" spans="1:15" x14ac:dyDescent="0.25">
      <c r="A103" s="29" t="s">
        <v>171</v>
      </c>
      <c r="B103" s="30"/>
      <c r="C103" s="26">
        <v>0.84</v>
      </c>
      <c r="D103" s="26">
        <v>2.14</v>
      </c>
      <c r="E103" s="26">
        <v>0.02</v>
      </c>
      <c r="F103" s="26"/>
      <c r="G103" s="27">
        <v>1</v>
      </c>
      <c r="H103" s="135"/>
      <c r="I103" s="28">
        <f>-C103*D103*G103</f>
        <v>-1.7976000000000001</v>
      </c>
      <c r="J103" s="28">
        <f t="shared" si="28"/>
        <v>-3.5952000000000005E-2</v>
      </c>
      <c r="K103" s="31"/>
      <c r="M103" s="405"/>
      <c r="N103" s="25" t="s">
        <v>41</v>
      </c>
      <c r="O103" s="404"/>
    </row>
    <row r="104" spans="1:15" x14ac:dyDescent="0.25">
      <c r="A104" s="21" t="s">
        <v>17</v>
      </c>
      <c r="B104" s="2"/>
      <c r="C104" s="59">
        <v>4.78</v>
      </c>
      <c r="D104" s="59">
        <v>2.9</v>
      </c>
      <c r="E104" s="59">
        <v>0.02</v>
      </c>
      <c r="F104" s="3"/>
      <c r="G104" s="24"/>
      <c r="H104" s="3"/>
      <c r="I104" s="3">
        <f>C104*D104</f>
        <v>13.862</v>
      </c>
      <c r="J104" s="3">
        <f t="shared" si="28"/>
        <v>0.27723999999999999</v>
      </c>
      <c r="K104" s="22"/>
      <c r="M104" s="405"/>
      <c r="N104" s="25" t="s">
        <v>41</v>
      </c>
      <c r="O104" s="404"/>
    </row>
    <row r="105" spans="1:15" x14ac:dyDescent="0.25">
      <c r="A105" s="21" t="s">
        <v>18</v>
      </c>
      <c r="B105" s="2"/>
      <c r="C105" s="59">
        <v>4.78</v>
      </c>
      <c r="D105" s="59">
        <v>2.9</v>
      </c>
      <c r="E105" s="59">
        <v>0.02</v>
      </c>
      <c r="F105" s="3"/>
      <c r="G105" s="24"/>
      <c r="H105" s="3"/>
      <c r="I105" s="3">
        <f>C105*D105</f>
        <v>13.862</v>
      </c>
      <c r="J105" s="3">
        <f t="shared" si="28"/>
        <v>0.27723999999999999</v>
      </c>
      <c r="K105" s="22"/>
      <c r="M105" s="405"/>
      <c r="N105" s="25" t="s">
        <v>41</v>
      </c>
      <c r="O105" s="404"/>
    </row>
    <row r="106" spans="1:15" x14ac:dyDescent="0.25">
      <c r="A106" s="29" t="s">
        <v>134</v>
      </c>
      <c r="B106" s="30"/>
      <c r="C106" s="26">
        <v>0.80800000000000005</v>
      </c>
      <c r="D106" s="26">
        <v>2.11</v>
      </c>
      <c r="E106" s="26">
        <v>0.02</v>
      </c>
      <c r="F106" s="26"/>
      <c r="G106" s="27">
        <v>1</v>
      </c>
      <c r="H106" s="135"/>
      <c r="I106" s="28">
        <f>-C106*D106*G106</f>
        <v>-1.70488</v>
      </c>
      <c r="J106" s="28">
        <f>I106*E106</f>
        <v>-3.4097599999999999E-2</v>
      </c>
      <c r="K106" s="31"/>
      <c r="M106" s="405"/>
      <c r="N106" s="25" t="s">
        <v>41</v>
      </c>
      <c r="O106" s="404"/>
    </row>
    <row r="107" spans="1:15" x14ac:dyDescent="0.25">
      <c r="A107" s="46"/>
      <c r="B107" s="2"/>
      <c r="C107" s="3"/>
      <c r="D107" s="3"/>
      <c r="E107" s="3"/>
      <c r="F107" s="3"/>
      <c r="G107" s="23"/>
      <c r="H107" s="5"/>
      <c r="I107" s="3"/>
      <c r="J107" s="3"/>
      <c r="K107" s="22"/>
      <c r="M107" s="405"/>
      <c r="N107" s="25"/>
      <c r="O107" s="404"/>
    </row>
    <row r="108" spans="1:15" x14ac:dyDescent="0.25">
      <c r="A108" s="183" t="s">
        <v>46</v>
      </c>
      <c r="B108" s="184"/>
      <c r="C108" s="180"/>
      <c r="D108" s="180"/>
      <c r="E108" s="180"/>
      <c r="F108" s="180"/>
      <c r="G108" s="185"/>
      <c r="H108" s="186"/>
      <c r="I108" s="180"/>
      <c r="J108" s="180"/>
      <c r="K108" s="178"/>
      <c r="L108" s="179"/>
      <c r="M108" s="429">
        <f>3.83+26.58</f>
        <v>30.409999999999997</v>
      </c>
      <c r="N108" s="181">
        <f>M108-SUM(I109:I115)</f>
        <v>3.2199999999953377E-3</v>
      </c>
      <c r="O108" s="430">
        <f>N108/M108</f>
        <v>1.058862216374659E-4</v>
      </c>
    </row>
    <row r="109" spans="1:15" x14ac:dyDescent="0.25">
      <c r="A109" s="157" t="s">
        <v>322</v>
      </c>
      <c r="B109" s="2"/>
      <c r="C109" s="3">
        <v>1.27</v>
      </c>
      <c r="D109" s="3">
        <v>2.77</v>
      </c>
      <c r="E109" s="59">
        <v>0.02</v>
      </c>
      <c r="F109" s="3"/>
      <c r="G109" s="23"/>
      <c r="H109" s="5"/>
      <c r="I109" s="3">
        <f t="shared" ref="I109:I115" si="29">C109*D109</f>
        <v>3.5179</v>
      </c>
      <c r="J109" s="3">
        <f t="shared" ref="J109:J115" si="30">I109*E109</f>
        <v>7.0358000000000004E-2</v>
      </c>
      <c r="K109" s="22"/>
      <c r="M109" s="405"/>
      <c r="N109" s="25"/>
      <c r="O109" s="404"/>
    </row>
    <row r="110" spans="1:15" x14ac:dyDescent="0.25">
      <c r="A110" s="157"/>
      <c r="B110" s="2"/>
      <c r="C110" s="3"/>
      <c r="D110" s="3"/>
      <c r="E110" s="59"/>
      <c r="F110" s="3"/>
      <c r="G110" s="23"/>
      <c r="H110" s="5"/>
      <c r="I110" s="3"/>
      <c r="J110" s="3"/>
      <c r="K110" s="22"/>
      <c r="M110" s="405"/>
      <c r="N110" s="25"/>
      <c r="O110" s="404"/>
    </row>
    <row r="111" spans="1:15" x14ac:dyDescent="0.25">
      <c r="A111" s="157" t="s">
        <v>324</v>
      </c>
      <c r="B111" s="2"/>
      <c r="C111" s="3">
        <v>2.84</v>
      </c>
      <c r="D111" s="3">
        <v>4.78</v>
      </c>
      <c r="E111" s="59">
        <v>0.02</v>
      </c>
      <c r="F111" s="3"/>
      <c r="G111" s="23"/>
      <c r="H111" s="5"/>
      <c r="I111" s="3">
        <f t="shared" si="29"/>
        <v>13.575200000000001</v>
      </c>
      <c r="J111" s="3">
        <f t="shared" si="30"/>
        <v>0.27150400000000002</v>
      </c>
      <c r="K111" s="22"/>
      <c r="M111" s="405"/>
      <c r="N111" s="25"/>
      <c r="O111" s="404"/>
    </row>
    <row r="112" spans="1:15" x14ac:dyDescent="0.25">
      <c r="A112" s="29" t="s">
        <v>59</v>
      </c>
      <c r="B112" s="30"/>
      <c r="C112" s="26">
        <v>1.6</v>
      </c>
      <c r="D112" s="26">
        <v>0.15</v>
      </c>
      <c r="E112" s="26">
        <v>0.02</v>
      </c>
      <c r="F112" s="26"/>
      <c r="G112" s="27">
        <v>1</v>
      </c>
      <c r="H112" s="135"/>
      <c r="I112" s="28">
        <f>-C112*D112*G112</f>
        <v>-0.24</v>
      </c>
      <c r="J112" s="28">
        <f>I112*E112</f>
        <v>-4.7999999999999996E-3</v>
      </c>
      <c r="K112" s="31"/>
      <c r="M112" s="405"/>
      <c r="N112" s="25" t="s">
        <v>41</v>
      </c>
      <c r="O112" s="404"/>
    </row>
    <row r="113" spans="1:15" x14ac:dyDescent="0.25">
      <c r="A113" s="21" t="s">
        <v>134</v>
      </c>
      <c r="B113" s="2"/>
      <c r="C113" s="167">
        <v>0.80800000000000005</v>
      </c>
      <c r="D113" s="167">
        <v>0.21</v>
      </c>
      <c r="E113" s="94">
        <v>0.02</v>
      </c>
      <c r="F113" s="167"/>
      <c r="G113" s="168"/>
      <c r="H113" s="169"/>
      <c r="I113" s="167">
        <f t="shared" ref="I113" si="31">C113*D113</f>
        <v>0.16968</v>
      </c>
      <c r="J113" s="167">
        <f t="shared" ref="J113" si="32">I113*E113</f>
        <v>3.3936000000000001E-3</v>
      </c>
      <c r="K113" s="170"/>
      <c r="L113" s="171"/>
      <c r="M113" s="466"/>
      <c r="N113" s="172"/>
      <c r="O113" s="467"/>
    </row>
    <row r="114" spans="1:15" x14ac:dyDescent="0.25">
      <c r="A114" s="21"/>
      <c r="B114" s="2"/>
      <c r="C114" s="167"/>
      <c r="D114" s="167"/>
      <c r="E114" s="94"/>
      <c r="F114" s="167"/>
      <c r="G114" s="168"/>
      <c r="H114" s="169"/>
      <c r="I114" s="167"/>
      <c r="J114" s="167"/>
      <c r="K114" s="170"/>
      <c r="L114" s="171"/>
      <c r="M114" s="466"/>
      <c r="N114" s="172"/>
      <c r="O114" s="467"/>
    </row>
    <row r="115" spans="1:15" x14ac:dyDescent="0.25">
      <c r="A115" s="157" t="s">
        <v>333</v>
      </c>
      <c r="B115" s="2"/>
      <c r="C115" s="3">
        <v>2.8</v>
      </c>
      <c r="D115" s="3">
        <v>4.78</v>
      </c>
      <c r="E115" s="59">
        <v>0.02</v>
      </c>
      <c r="F115" s="3"/>
      <c r="G115" s="23"/>
      <c r="H115" s="5"/>
      <c r="I115" s="3">
        <f t="shared" si="29"/>
        <v>13.384</v>
      </c>
      <c r="J115" s="3">
        <f t="shared" si="30"/>
        <v>0.26768000000000003</v>
      </c>
      <c r="K115" s="22"/>
      <c r="M115" s="405"/>
      <c r="N115" s="25"/>
      <c r="O115" s="404"/>
    </row>
    <row r="116" spans="1:15" x14ac:dyDescent="0.25">
      <c r="A116" s="11" t="s">
        <v>30</v>
      </c>
      <c r="B116" s="12" t="s">
        <v>35</v>
      </c>
      <c r="C116" s="13"/>
      <c r="D116" s="13"/>
      <c r="E116" s="13"/>
      <c r="F116" s="13"/>
      <c r="G116" s="15"/>
      <c r="H116" s="16"/>
      <c r="I116" s="17">
        <f>SUM(I117:I126)</f>
        <v>31.011430000000004</v>
      </c>
      <c r="J116" s="18">
        <f>SUM(J117:J126)</f>
        <v>1.5505715</v>
      </c>
      <c r="K116" s="1" t="s">
        <v>338</v>
      </c>
      <c r="M116" s="419">
        <f>N119+N120</f>
        <v>31.869999999999997</v>
      </c>
      <c r="N116" s="14">
        <f>M116-I116</f>
        <v>0.85856999999999317</v>
      </c>
      <c r="O116" s="415">
        <f>N116/M116</f>
        <v>2.6939755255726176E-2</v>
      </c>
    </row>
    <row r="117" spans="1:15" x14ac:dyDescent="0.25">
      <c r="A117" s="157" t="s">
        <v>322</v>
      </c>
      <c r="B117" s="2"/>
      <c r="C117" s="3">
        <v>1.27</v>
      </c>
      <c r="D117" s="3">
        <v>2.77</v>
      </c>
      <c r="E117" s="3">
        <v>0.05</v>
      </c>
      <c r="F117" s="3"/>
      <c r="G117" s="23"/>
      <c r="H117" s="5"/>
      <c r="I117" s="3">
        <f t="shared" ref="I117:I124" si="33">(C117*D117)</f>
        <v>3.5179</v>
      </c>
      <c r="J117" s="3">
        <f t="shared" ref="J117:J126" si="34">I117*E117</f>
        <v>0.17589500000000002</v>
      </c>
      <c r="K117" s="22"/>
      <c r="M117" s="405"/>
      <c r="N117" s="25" t="s">
        <v>41</v>
      </c>
      <c r="O117" s="404"/>
    </row>
    <row r="118" spans="1:15" x14ac:dyDescent="0.25">
      <c r="A118" s="21" t="s">
        <v>170</v>
      </c>
      <c r="B118" s="2"/>
      <c r="C118" s="3">
        <v>0.87</v>
      </c>
      <c r="D118" s="3">
        <v>0.155</v>
      </c>
      <c r="E118" s="3">
        <v>0.05</v>
      </c>
      <c r="F118" s="3"/>
      <c r="G118" s="23"/>
      <c r="H118" s="5"/>
      <c r="I118" s="3">
        <f t="shared" si="33"/>
        <v>0.13485</v>
      </c>
      <c r="J118" s="3">
        <f t="shared" si="34"/>
        <v>6.7425000000000002E-3</v>
      </c>
      <c r="K118" s="22"/>
      <c r="M118" s="405" t="s">
        <v>205</v>
      </c>
      <c r="N118" s="25" t="s">
        <v>204</v>
      </c>
      <c r="O118" s="404"/>
    </row>
    <row r="119" spans="1:15" x14ac:dyDescent="0.25">
      <c r="A119" s="21"/>
      <c r="B119" s="2"/>
      <c r="C119" s="3"/>
      <c r="D119" s="3"/>
      <c r="E119" s="3"/>
      <c r="F119" s="3"/>
      <c r="G119" s="23"/>
      <c r="H119" s="5"/>
      <c r="I119" s="3"/>
      <c r="J119" s="3"/>
      <c r="K119" s="22"/>
      <c r="M119" s="405">
        <v>5</v>
      </c>
      <c r="N119" s="3">
        <v>31.56</v>
      </c>
      <c r="O119" s="404"/>
    </row>
    <row r="120" spans="1:15" x14ac:dyDescent="0.25">
      <c r="A120" s="157" t="s">
        <v>333</v>
      </c>
      <c r="B120" s="2"/>
      <c r="C120" s="3">
        <v>2.8</v>
      </c>
      <c r="D120" s="3">
        <v>4.78</v>
      </c>
      <c r="E120" s="3">
        <v>0.05</v>
      </c>
      <c r="F120" s="3"/>
      <c r="G120" s="23"/>
      <c r="H120" s="5"/>
      <c r="I120" s="3">
        <f t="shared" si="33"/>
        <v>13.384</v>
      </c>
      <c r="J120" s="3">
        <f t="shared" si="34"/>
        <v>0.66920000000000002</v>
      </c>
      <c r="K120" s="22"/>
      <c r="M120" s="405">
        <v>6</v>
      </c>
      <c r="N120" s="3">
        <v>0.31</v>
      </c>
      <c r="O120" s="404"/>
    </row>
    <row r="121" spans="1:15" x14ac:dyDescent="0.25">
      <c r="A121" s="21" t="s">
        <v>134</v>
      </c>
      <c r="B121" s="2"/>
      <c r="C121" s="3">
        <v>0.80800000000000005</v>
      </c>
      <c r="D121" s="3">
        <v>0.21</v>
      </c>
      <c r="E121" s="3">
        <v>0.05</v>
      </c>
      <c r="F121" s="3"/>
      <c r="G121" s="23"/>
      <c r="H121" s="5"/>
      <c r="I121" s="3">
        <f t="shared" si="33"/>
        <v>0.16968</v>
      </c>
      <c r="J121" s="3">
        <f t="shared" si="34"/>
        <v>8.4840000000000002E-3</v>
      </c>
      <c r="K121" s="22"/>
      <c r="M121" s="405"/>
      <c r="N121" s="3"/>
      <c r="O121" s="404"/>
    </row>
    <row r="122" spans="1:15" x14ac:dyDescent="0.25">
      <c r="A122" s="21" t="s">
        <v>168</v>
      </c>
      <c r="B122" s="2"/>
      <c r="C122" s="3">
        <v>0.87</v>
      </c>
      <c r="D122" s="3">
        <v>0.27</v>
      </c>
      <c r="E122" s="3">
        <v>0.05</v>
      </c>
      <c r="F122" s="3"/>
      <c r="G122" s="23"/>
      <c r="H122" s="5"/>
      <c r="I122" s="3">
        <f t="shared" si="33"/>
        <v>0.23490000000000003</v>
      </c>
      <c r="J122" s="3">
        <f t="shared" si="34"/>
        <v>1.1745000000000002E-2</v>
      </c>
      <c r="K122" s="22"/>
      <c r="M122" s="405"/>
      <c r="N122" s="3"/>
      <c r="O122" s="404"/>
    </row>
    <row r="123" spans="1:15" x14ac:dyDescent="0.25">
      <c r="A123" s="156"/>
      <c r="B123" s="2"/>
      <c r="C123" s="3"/>
      <c r="D123" s="3"/>
      <c r="E123" s="3"/>
      <c r="F123" s="3"/>
      <c r="G123" s="23"/>
      <c r="H123" s="5"/>
      <c r="I123" s="3"/>
      <c r="J123" s="3"/>
      <c r="K123" s="22"/>
      <c r="M123" s="405"/>
      <c r="N123" s="3"/>
      <c r="O123" s="404"/>
    </row>
    <row r="124" spans="1:15" x14ac:dyDescent="0.25">
      <c r="A124" s="157" t="s">
        <v>324</v>
      </c>
      <c r="B124" s="2"/>
      <c r="C124" s="3">
        <v>2.84</v>
      </c>
      <c r="D124" s="3">
        <v>4.78</v>
      </c>
      <c r="E124" s="3">
        <v>0.05</v>
      </c>
      <c r="F124" s="3"/>
      <c r="G124" s="23"/>
      <c r="H124" s="5"/>
      <c r="I124" s="3">
        <f t="shared" si="33"/>
        <v>13.575200000000001</v>
      </c>
      <c r="J124" s="3">
        <f t="shared" si="34"/>
        <v>0.67876000000000003</v>
      </c>
      <c r="K124" s="22"/>
      <c r="M124" s="405" t="s">
        <v>206</v>
      </c>
      <c r="N124" s="3">
        <f>SUMPRODUCT(M119:M122,N119:N122)/SUM(N119:N122)</f>
        <v>5.0097270160025102</v>
      </c>
      <c r="O124" s="404"/>
    </row>
    <row r="125" spans="1:15" x14ac:dyDescent="0.25">
      <c r="A125" s="29" t="s">
        <v>133</v>
      </c>
      <c r="B125" s="30"/>
      <c r="C125" s="26">
        <v>1.6</v>
      </c>
      <c r="D125" s="26">
        <v>0.15</v>
      </c>
      <c r="E125" s="26">
        <v>0.05</v>
      </c>
      <c r="F125" s="26"/>
      <c r="G125" s="27">
        <v>1</v>
      </c>
      <c r="H125" s="28">
        <f>-G125*C125</f>
        <v>-1.6</v>
      </c>
      <c r="I125" s="28">
        <f>-C125*D125*G125</f>
        <v>-0.24</v>
      </c>
      <c r="J125" s="28">
        <f>I125*E125</f>
        <v>-1.2E-2</v>
      </c>
      <c r="K125" s="31"/>
      <c r="M125" s="405"/>
      <c r="N125" s="25" t="s">
        <v>41</v>
      </c>
      <c r="O125" s="404"/>
    </row>
    <row r="126" spans="1:15" x14ac:dyDescent="0.25">
      <c r="A126" s="21" t="s">
        <v>169</v>
      </c>
      <c r="B126" s="2"/>
      <c r="C126" s="3">
        <v>0.87</v>
      </c>
      <c r="D126" s="3">
        <v>0.27</v>
      </c>
      <c r="E126" s="3">
        <v>0.05</v>
      </c>
      <c r="F126" s="3"/>
      <c r="G126" s="23"/>
      <c r="H126" s="5"/>
      <c r="I126" s="3">
        <f t="shared" ref="I126" si="35">(C126*D126)</f>
        <v>0.23490000000000003</v>
      </c>
      <c r="J126" s="3">
        <f t="shared" si="34"/>
        <v>1.1745000000000002E-2</v>
      </c>
      <c r="K126" s="22"/>
      <c r="M126" s="405"/>
      <c r="N126" s="25"/>
      <c r="O126" s="404"/>
    </row>
    <row r="127" spans="1:15" x14ac:dyDescent="0.25">
      <c r="A127" s="133" t="s">
        <v>32</v>
      </c>
      <c r="B127" s="32" t="s">
        <v>43</v>
      </c>
      <c r="C127" s="33"/>
      <c r="D127" s="643">
        <v>0.3</v>
      </c>
      <c r="E127" s="644" t="s">
        <v>427</v>
      </c>
      <c r="F127" s="33"/>
      <c r="G127" s="34"/>
      <c r="H127" s="35"/>
      <c r="I127" s="33"/>
      <c r="J127" s="36">
        <f>SUM(J3,J7,J10,J14,J17,J22,J24,J37,J39,J48,J51,J54,J66,J116)*D127</f>
        <v>2.4651538380867493</v>
      </c>
      <c r="K127" s="37"/>
      <c r="M127" s="419"/>
      <c r="N127" s="14"/>
      <c r="O127" s="415"/>
    </row>
    <row r="128" spans="1:15" ht="15.75" thickBot="1" x14ac:dyDescent="0.3">
      <c r="A128" s="38" t="s">
        <v>33</v>
      </c>
      <c r="B128" s="39" t="s">
        <v>47</v>
      </c>
      <c r="C128" s="40"/>
      <c r="D128" s="40">
        <v>14.1</v>
      </c>
      <c r="E128" s="645" t="s">
        <v>428</v>
      </c>
      <c r="F128" s="40"/>
      <c r="G128" s="41"/>
      <c r="H128" s="42"/>
      <c r="I128" s="42"/>
      <c r="J128" s="43">
        <f>J127*D128</f>
        <v>34.75866911702316</v>
      </c>
      <c r="K128" s="44"/>
      <c r="M128" s="434"/>
      <c r="N128" s="435"/>
      <c r="O128" s="436"/>
    </row>
    <row r="129" spans="1:15" ht="15.75" thickBot="1" x14ac:dyDescent="0.3"/>
    <row r="130" spans="1:15" ht="15.75" thickBot="1" x14ac:dyDescent="0.3">
      <c r="A130" s="47" t="s">
        <v>48</v>
      </c>
      <c r="B130" s="48"/>
      <c r="C130" s="49" t="s">
        <v>2</v>
      </c>
      <c r="D130" s="49" t="s">
        <v>3</v>
      </c>
      <c r="E130" s="49" t="s">
        <v>4</v>
      </c>
      <c r="F130" s="49" t="s">
        <v>5</v>
      </c>
      <c r="G130" s="50" t="s">
        <v>1</v>
      </c>
      <c r="H130" s="49" t="s">
        <v>6</v>
      </c>
      <c r="I130" s="49" t="s">
        <v>7</v>
      </c>
      <c r="J130" s="49" t="s">
        <v>8</v>
      </c>
      <c r="K130" s="51" t="s">
        <v>9</v>
      </c>
    </row>
    <row r="131" spans="1:15" x14ac:dyDescent="0.25">
      <c r="A131" s="52" t="s">
        <v>100</v>
      </c>
      <c r="B131" s="53" t="s">
        <v>35</v>
      </c>
      <c r="C131" s="54"/>
      <c r="D131" s="54"/>
      <c r="E131" s="54"/>
      <c r="F131" s="54"/>
      <c r="G131" s="55"/>
      <c r="H131" s="54"/>
      <c r="I131" s="56">
        <f>I132</f>
        <v>7.0685834705770348E-2</v>
      </c>
      <c r="J131" s="66"/>
      <c r="K131" s="1"/>
      <c r="M131" s="400">
        <v>7.0000000000000007E-2</v>
      </c>
      <c r="N131" s="401">
        <f>M131-I131</f>
        <v>-6.8583470577034122E-4</v>
      </c>
      <c r="O131" s="402">
        <f>N131/M131</f>
        <v>-9.7976386538620158E-3</v>
      </c>
    </row>
    <row r="132" spans="1:15" x14ac:dyDescent="0.25">
      <c r="A132" s="57" t="s">
        <v>187</v>
      </c>
      <c r="B132" s="58"/>
      <c r="C132" s="59">
        <v>0.3</v>
      </c>
      <c r="D132" s="59"/>
      <c r="E132" s="59"/>
      <c r="F132" s="59"/>
      <c r="G132" s="60"/>
      <c r="H132" s="59"/>
      <c r="I132" s="59">
        <f>0.25*PI()*C132*C132</f>
        <v>7.0685834705770348E-2</v>
      </c>
      <c r="J132" s="67"/>
      <c r="K132" s="61"/>
      <c r="M132" s="405"/>
      <c r="N132" s="25" t="s">
        <v>41</v>
      </c>
      <c r="O132" s="404"/>
    </row>
    <row r="133" spans="1:15" x14ac:dyDescent="0.25">
      <c r="A133" s="52" t="s">
        <v>51</v>
      </c>
      <c r="B133" s="53" t="s">
        <v>35</v>
      </c>
      <c r="C133" s="54"/>
      <c r="D133" s="54"/>
      <c r="E133" s="54"/>
      <c r="F133" s="54"/>
      <c r="G133" s="55"/>
      <c r="H133" s="54"/>
      <c r="I133" s="56">
        <f>SUM(I134:I135)</f>
        <v>10.98</v>
      </c>
      <c r="J133" s="66"/>
      <c r="K133" s="1"/>
      <c r="M133" s="419">
        <v>11.19</v>
      </c>
      <c r="N133" s="14">
        <f>M133-I133</f>
        <v>0.20999999999999908</v>
      </c>
      <c r="O133" s="415">
        <f>N133/M133</f>
        <v>1.8766756032171501E-2</v>
      </c>
    </row>
    <row r="134" spans="1:15" x14ac:dyDescent="0.25">
      <c r="A134" s="57" t="s">
        <v>50</v>
      </c>
      <c r="B134" s="58"/>
      <c r="C134" s="59">
        <v>1.66</v>
      </c>
      <c r="D134" s="59"/>
      <c r="E134" s="59"/>
      <c r="F134" s="59">
        <v>3</v>
      </c>
      <c r="G134" s="60"/>
      <c r="H134" s="59"/>
      <c r="I134" s="59">
        <f>(C134*F134)</f>
        <v>4.9799999999999995</v>
      </c>
      <c r="J134" s="67"/>
      <c r="K134" s="61" t="s">
        <v>148</v>
      </c>
      <c r="M134" s="405"/>
      <c r="N134" s="25" t="s">
        <v>41</v>
      </c>
      <c r="O134" s="404"/>
    </row>
    <row r="135" spans="1:15" x14ac:dyDescent="0.25">
      <c r="A135" s="57" t="s">
        <v>52</v>
      </c>
      <c r="B135" s="58"/>
      <c r="C135" s="59">
        <v>2</v>
      </c>
      <c r="D135" s="59"/>
      <c r="E135" s="59"/>
      <c r="F135" s="59">
        <v>3</v>
      </c>
      <c r="G135" s="60"/>
      <c r="H135" s="59"/>
      <c r="I135" s="59">
        <f>(C135*F135)</f>
        <v>6</v>
      </c>
      <c r="J135" s="67"/>
      <c r="K135" s="61" t="s">
        <v>148</v>
      </c>
      <c r="M135" s="405"/>
      <c r="N135" s="25" t="s">
        <v>41</v>
      </c>
      <c r="O135" s="404"/>
    </row>
    <row r="136" spans="1:15" x14ac:dyDescent="0.25">
      <c r="A136" s="52" t="s">
        <v>101</v>
      </c>
      <c r="B136" s="53" t="s">
        <v>31</v>
      </c>
      <c r="C136" s="76"/>
      <c r="D136" s="76"/>
      <c r="E136" s="76"/>
      <c r="F136" s="76"/>
      <c r="G136" s="132">
        <f>SUM(G137:G139)</f>
        <v>3</v>
      </c>
      <c r="H136" s="56">
        <f>SUM(H137:H139)</f>
        <v>3.5</v>
      </c>
      <c r="I136" s="66"/>
      <c r="J136" s="66"/>
      <c r="K136" s="1"/>
      <c r="M136" s="419">
        <f>1.155+1.26+1.26</f>
        <v>3.6749999999999998</v>
      </c>
      <c r="N136" s="13">
        <f>M136-H136</f>
        <v>0.17499999999999982</v>
      </c>
      <c r="O136" s="415">
        <f>N136/M136</f>
        <v>4.7619047619047575E-2</v>
      </c>
    </row>
    <row r="137" spans="1:15" x14ac:dyDescent="0.25">
      <c r="A137" s="57" t="s">
        <v>60</v>
      </c>
      <c r="B137" s="58"/>
      <c r="C137" s="59">
        <f>0.2+0.8+0.2</f>
        <v>1.2</v>
      </c>
      <c r="D137" s="59"/>
      <c r="E137" s="59"/>
      <c r="F137" s="59"/>
      <c r="G137" s="75">
        <v>1</v>
      </c>
      <c r="H137" s="59">
        <f>G137*C137</f>
        <v>1.2</v>
      </c>
      <c r="I137" s="59"/>
      <c r="J137" s="67"/>
      <c r="K137" s="61" t="s">
        <v>324</v>
      </c>
      <c r="M137" s="405"/>
      <c r="N137" s="25"/>
      <c r="O137" s="404"/>
    </row>
    <row r="138" spans="1:15" x14ac:dyDescent="0.25">
      <c r="A138" s="57" t="s">
        <v>114</v>
      </c>
      <c r="B138" s="58"/>
      <c r="C138" s="59">
        <f>0.2+0.8+0.2</f>
        <v>1.2</v>
      </c>
      <c r="D138" s="59"/>
      <c r="E138" s="59"/>
      <c r="F138" s="59"/>
      <c r="G138" s="75">
        <f>1</f>
        <v>1</v>
      </c>
      <c r="H138" s="59">
        <f t="shared" ref="H138" si="36">G138*C138</f>
        <v>1.2</v>
      </c>
      <c r="I138" s="59"/>
      <c r="J138" s="67"/>
      <c r="K138" s="61" t="s">
        <v>108</v>
      </c>
      <c r="M138" s="405"/>
      <c r="N138" s="25"/>
      <c r="O138" s="404"/>
    </row>
    <row r="139" spans="1:15" x14ac:dyDescent="0.25">
      <c r="A139" s="57" t="s">
        <v>96</v>
      </c>
      <c r="B139" s="58"/>
      <c r="C139" s="59">
        <f>0.2+0.7+0.2</f>
        <v>1.0999999999999999</v>
      </c>
      <c r="D139" s="59"/>
      <c r="E139" s="59"/>
      <c r="F139" s="59"/>
      <c r="G139" s="75">
        <v>1</v>
      </c>
      <c r="H139" s="59">
        <f t="shared" ref="H139" si="37">G139*C139</f>
        <v>1.0999999999999999</v>
      </c>
      <c r="I139" s="59"/>
      <c r="J139" s="67"/>
      <c r="K139" s="61" t="s">
        <v>322</v>
      </c>
      <c r="M139" s="405"/>
      <c r="N139" s="25"/>
      <c r="O139" s="404"/>
    </row>
    <row r="140" spans="1:15" x14ac:dyDescent="0.25">
      <c r="A140" s="52" t="s">
        <v>150</v>
      </c>
      <c r="B140" s="53" t="s">
        <v>31</v>
      </c>
      <c r="C140" s="76"/>
      <c r="D140" s="76"/>
      <c r="E140" s="76"/>
      <c r="F140" s="76"/>
      <c r="G140" s="132">
        <f>SUM(G141)</f>
        <v>1</v>
      </c>
      <c r="H140" s="56">
        <f>SUM(H141)</f>
        <v>2.3000000000000003</v>
      </c>
      <c r="I140" s="66"/>
      <c r="J140" s="66"/>
      <c r="K140" s="1"/>
      <c r="M140" s="419">
        <v>2.2999999999999998</v>
      </c>
      <c r="N140" s="13">
        <f>M140-H140</f>
        <v>0</v>
      </c>
      <c r="O140" s="415">
        <f>N140/M140</f>
        <v>0</v>
      </c>
    </row>
    <row r="141" spans="1:15" x14ac:dyDescent="0.25">
      <c r="A141" s="57" t="s">
        <v>177</v>
      </c>
      <c r="B141" s="58"/>
      <c r="C141" s="59">
        <f>0.2+1.9+0.2</f>
        <v>2.3000000000000003</v>
      </c>
      <c r="D141" s="59"/>
      <c r="E141" s="59"/>
      <c r="F141" s="59"/>
      <c r="G141" s="75">
        <v>1</v>
      </c>
      <c r="H141" s="59">
        <f>G141*C141</f>
        <v>2.3000000000000003</v>
      </c>
      <c r="I141" s="59"/>
      <c r="J141" s="67"/>
      <c r="K141" s="61"/>
      <c r="M141" s="405"/>
      <c r="N141" s="3"/>
      <c r="O141" s="404"/>
    </row>
    <row r="142" spans="1:15" x14ac:dyDescent="0.25">
      <c r="A142" s="52" t="s">
        <v>151</v>
      </c>
      <c r="B142" s="53" t="s">
        <v>31</v>
      </c>
      <c r="C142" s="76"/>
      <c r="D142" s="76"/>
      <c r="E142" s="76"/>
      <c r="F142" s="76"/>
      <c r="G142" s="132">
        <f>SUM(G143)</f>
        <v>1</v>
      </c>
      <c r="H142" s="56">
        <f>SUM(H143)</f>
        <v>2.3000000000000003</v>
      </c>
      <c r="I142" s="66"/>
      <c r="J142" s="66"/>
      <c r="K142" s="1"/>
      <c r="M142" s="419">
        <v>2.2999999999999998</v>
      </c>
      <c r="N142" s="13">
        <f>M142-H142</f>
        <v>0</v>
      </c>
      <c r="O142" s="415">
        <f>N142/M142</f>
        <v>0</v>
      </c>
    </row>
    <row r="143" spans="1:15" ht="15.75" thickBot="1" x14ac:dyDescent="0.3">
      <c r="A143" s="78" t="s">
        <v>177</v>
      </c>
      <c r="B143" s="79"/>
      <c r="C143" s="80">
        <f>0.2+1.9+0.2</f>
        <v>2.3000000000000003</v>
      </c>
      <c r="D143" s="80"/>
      <c r="E143" s="80"/>
      <c r="F143" s="80"/>
      <c r="G143" s="82">
        <v>1</v>
      </c>
      <c r="H143" s="80">
        <f>G143*C143</f>
        <v>2.3000000000000003</v>
      </c>
      <c r="I143" s="80"/>
      <c r="J143" s="83"/>
      <c r="K143" s="84"/>
      <c r="M143" s="407"/>
      <c r="N143" s="408"/>
      <c r="O143" s="409"/>
    </row>
    <row r="144" spans="1:15" ht="15.75" thickBot="1" x14ac:dyDescent="0.3"/>
    <row r="145" spans="1:17" ht="15.75" thickBot="1" x14ac:dyDescent="0.3">
      <c r="A145" s="47" t="s">
        <v>61</v>
      </c>
      <c r="B145" s="48"/>
      <c r="C145" s="49" t="s">
        <v>2</v>
      </c>
      <c r="D145" s="49" t="s">
        <v>3</v>
      </c>
      <c r="E145" s="49" t="s">
        <v>4</v>
      </c>
      <c r="F145" s="49" t="s">
        <v>5</v>
      </c>
      <c r="G145" s="50" t="s">
        <v>1</v>
      </c>
      <c r="H145" s="49" t="s">
        <v>6</v>
      </c>
      <c r="I145" s="49" t="s">
        <v>7</v>
      </c>
      <c r="J145" s="49" t="s">
        <v>8</v>
      </c>
      <c r="K145" s="51" t="s">
        <v>9</v>
      </c>
    </row>
    <row r="146" spans="1:17" x14ac:dyDescent="0.25">
      <c r="A146" s="85" t="s">
        <v>53</v>
      </c>
      <c r="B146" s="86" t="s">
        <v>35</v>
      </c>
      <c r="C146" s="87"/>
      <c r="D146" s="87"/>
      <c r="E146" s="87"/>
      <c r="F146" s="87"/>
      <c r="G146" s="88"/>
      <c r="H146" s="87"/>
      <c r="I146" s="89">
        <f>SUM(I147:I149)</f>
        <v>22.101371669411542</v>
      </c>
      <c r="J146" s="90"/>
      <c r="K146" s="91" t="s">
        <v>58</v>
      </c>
      <c r="M146" s="400">
        <f>21.13+0.07</f>
        <v>21.2</v>
      </c>
      <c r="N146" s="401">
        <f>M146-I146</f>
        <v>-0.90137166941154234</v>
      </c>
      <c r="O146" s="402">
        <f>N146/M146</f>
        <v>-4.2517531576016149E-2</v>
      </c>
    </row>
    <row r="147" spans="1:17" x14ac:dyDescent="0.25">
      <c r="A147" s="57" t="s">
        <v>50</v>
      </c>
      <c r="B147" s="58"/>
      <c r="C147" s="59">
        <v>1.66</v>
      </c>
      <c r="D147" s="59"/>
      <c r="E147" s="59"/>
      <c r="F147" s="59">
        <v>3</v>
      </c>
      <c r="G147" s="75">
        <v>2</v>
      </c>
      <c r="H147" s="59"/>
      <c r="I147" s="59">
        <f>(C147*F147)*G147</f>
        <v>9.9599999999999991</v>
      </c>
      <c r="J147" s="67"/>
      <c r="K147" s="61" t="s">
        <v>148</v>
      </c>
      <c r="M147" s="405"/>
      <c r="N147" s="25" t="s">
        <v>41</v>
      </c>
      <c r="O147" s="404"/>
    </row>
    <row r="148" spans="1:17" x14ac:dyDescent="0.25">
      <c r="A148" s="57" t="s">
        <v>52</v>
      </c>
      <c r="B148" s="58"/>
      <c r="C148" s="59">
        <v>2</v>
      </c>
      <c r="D148" s="59"/>
      <c r="E148" s="59"/>
      <c r="F148" s="59">
        <v>3</v>
      </c>
      <c r="G148" s="75">
        <v>2</v>
      </c>
      <c r="H148" s="59"/>
      <c r="I148" s="59">
        <f>(C148*F148)*G148</f>
        <v>12</v>
      </c>
      <c r="J148" s="67"/>
      <c r="K148" s="61" t="s">
        <v>148</v>
      </c>
      <c r="M148" s="405"/>
      <c r="N148" s="25"/>
      <c r="O148" s="404"/>
      <c r="Q148" s="173"/>
    </row>
    <row r="149" spans="1:17" x14ac:dyDescent="0.25">
      <c r="A149" s="57" t="s">
        <v>149</v>
      </c>
      <c r="B149" s="58"/>
      <c r="C149" s="59">
        <v>0.3</v>
      </c>
      <c r="D149" s="59"/>
      <c r="E149" s="59"/>
      <c r="F149" s="59"/>
      <c r="G149" s="75">
        <v>2</v>
      </c>
      <c r="H149" s="59"/>
      <c r="I149" s="59">
        <f>0.25*PI()*C149*C149*G149</f>
        <v>0.1413716694115407</v>
      </c>
      <c r="J149" s="67"/>
      <c r="K149" s="61"/>
      <c r="M149" s="405"/>
      <c r="N149" s="25" t="s">
        <v>41</v>
      </c>
      <c r="O149" s="404"/>
    </row>
    <row r="150" spans="1:17" ht="45" x14ac:dyDescent="0.25">
      <c r="A150" s="97" t="s">
        <v>54</v>
      </c>
      <c r="B150" s="98" t="s">
        <v>35</v>
      </c>
      <c r="C150" s="54"/>
      <c r="D150" s="54"/>
      <c r="E150" s="54"/>
      <c r="F150" s="54"/>
      <c r="G150" s="55"/>
      <c r="H150" s="54"/>
      <c r="I150" s="101">
        <f>SUM(I151:I192)</f>
        <v>128.66801183470577</v>
      </c>
      <c r="J150" s="66"/>
      <c r="K150" s="1" t="s">
        <v>55</v>
      </c>
      <c r="M150" s="419">
        <f>0.07+124.04</f>
        <v>124.11</v>
      </c>
      <c r="N150" s="14">
        <f>M150-I150</f>
        <v>-4.5580118347057663</v>
      </c>
      <c r="O150" s="415">
        <f>N150/M150</f>
        <v>-3.6725580813034939E-2</v>
      </c>
    </row>
    <row r="151" spans="1:17" x14ac:dyDescent="0.25">
      <c r="A151" s="57" t="s">
        <v>200</v>
      </c>
      <c r="B151" s="58"/>
      <c r="C151" s="59">
        <v>0.3</v>
      </c>
      <c r="D151" s="59"/>
      <c r="E151" s="59"/>
      <c r="F151" s="59"/>
      <c r="G151" s="75"/>
      <c r="H151" s="59"/>
      <c r="I151" s="59">
        <f>0.25*PI()*C151*C151</f>
        <v>7.0685834705770348E-2</v>
      </c>
      <c r="J151" s="67"/>
      <c r="K151" s="61"/>
      <c r="M151" s="405"/>
      <c r="N151" s="25" t="s">
        <v>41</v>
      </c>
      <c r="O151" s="404"/>
    </row>
    <row r="152" spans="1:17" x14ac:dyDescent="0.25">
      <c r="A152" s="57" t="s">
        <v>201</v>
      </c>
      <c r="B152" s="58"/>
      <c r="C152" s="59">
        <f>0.2+1.9+0.2</f>
        <v>2.3000000000000003</v>
      </c>
      <c r="D152" s="59">
        <v>0.2</v>
      </c>
      <c r="E152" s="59"/>
      <c r="F152" s="59"/>
      <c r="G152" s="75">
        <v>2</v>
      </c>
      <c r="H152" s="59"/>
      <c r="I152" s="59">
        <f>(C152*D152)*G152</f>
        <v>0.92000000000000015</v>
      </c>
      <c r="J152" s="67"/>
      <c r="K152" s="61"/>
      <c r="M152" s="405"/>
      <c r="N152" s="25"/>
      <c r="O152" s="404"/>
    </row>
    <row r="153" spans="1:17" x14ac:dyDescent="0.25">
      <c r="A153" s="57"/>
      <c r="B153" s="58"/>
      <c r="C153" s="59"/>
      <c r="D153" s="59"/>
      <c r="E153" s="59"/>
      <c r="F153" s="59"/>
      <c r="G153" s="75"/>
      <c r="H153" s="59"/>
      <c r="I153" s="59"/>
      <c r="J153" s="67"/>
      <c r="K153" s="61"/>
      <c r="M153" s="405"/>
      <c r="N153" s="25"/>
      <c r="O153" s="404"/>
    </row>
    <row r="154" spans="1:17" x14ac:dyDescent="0.25">
      <c r="A154" s="102" t="s">
        <v>108</v>
      </c>
      <c r="B154" s="68"/>
      <c r="C154" s="69"/>
      <c r="D154" s="69"/>
      <c r="E154" s="69"/>
      <c r="F154" s="69"/>
      <c r="G154" s="60"/>
      <c r="H154" s="69"/>
      <c r="I154" s="59"/>
      <c r="J154" s="67"/>
      <c r="K154" s="61"/>
      <c r="M154" s="405"/>
      <c r="N154" s="25"/>
      <c r="O154" s="404"/>
    </row>
    <row r="155" spans="1:17" x14ac:dyDescent="0.25">
      <c r="A155" s="93" t="s">
        <v>29</v>
      </c>
      <c r="B155" s="58"/>
      <c r="C155" s="59">
        <v>1.5</v>
      </c>
      <c r="D155" s="59">
        <v>2.8</v>
      </c>
      <c r="E155" s="59"/>
      <c r="F155" s="59"/>
      <c r="G155" s="60"/>
      <c r="H155" s="59"/>
      <c r="I155" s="59">
        <f>C155*D155</f>
        <v>4.1999999999999993</v>
      </c>
      <c r="J155" s="67"/>
      <c r="K155" s="61"/>
      <c r="M155" s="405"/>
      <c r="N155" s="25"/>
      <c r="O155" s="404"/>
    </row>
    <row r="156" spans="1:17" x14ac:dyDescent="0.25">
      <c r="A156" s="93" t="s">
        <v>27</v>
      </c>
      <c r="B156" s="58"/>
      <c r="C156" s="59">
        <v>1.5</v>
      </c>
      <c r="D156" s="59">
        <v>2.8</v>
      </c>
      <c r="E156" s="59"/>
      <c r="F156" s="59"/>
      <c r="G156" s="60"/>
      <c r="H156" s="59"/>
      <c r="I156" s="59">
        <f>C156*D156</f>
        <v>4.1999999999999993</v>
      </c>
      <c r="J156" s="67"/>
      <c r="K156" s="61"/>
      <c r="M156" s="405"/>
      <c r="N156" s="25"/>
      <c r="O156" s="404"/>
    </row>
    <row r="157" spans="1:17" x14ac:dyDescent="0.25">
      <c r="A157" s="72" t="s">
        <v>114</v>
      </c>
      <c r="B157" s="73"/>
      <c r="C157" s="62">
        <v>0.87</v>
      </c>
      <c r="D157" s="63">
        <v>2.14</v>
      </c>
      <c r="E157" s="63"/>
      <c r="F157" s="63"/>
      <c r="G157" s="74">
        <v>1</v>
      </c>
      <c r="H157" s="63"/>
      <c r="I157" s="64">
        <f>C157*D157*G157*-1</f>
        <v>-1.8618000000000001</v>
      </c>
      <c r="J157" s="63"/>
      <c r="K157" s="65"/>
      <c r="M157" s="405"/>
      <c r="N157" s="25"/>
      <c r="O157" s="404"/>
    </row>
    <row r="158" spans="1:17" x14ac:dyDescent="0.25">
      <c r="A158" s="57" t="s">
        <v>152</v>
      </c>
      <c r="B158" s="68"/>
      <c r="C158" s="99">
        <v>0.87</v>
      </c>
      <c r="D158" s="99">
        <v>2.14</v>
      </c>
      <c r="E158" s="99">
        <v>0.27</v>
      </c>
      <c r="F158" s="99"/>
      <c r="G158" s="95">
        <v>1</v>
      </c>
      <c r="H158" s="99">
        <f>G158*(D158+C158+D158)</f>
        <v>5.15</v>
      </c>
      <c r="I158" s="94">
        <f>H158*E158</f>
        <v>1.3905000000000003</v>
      </c>
      <c r="J158" s="100"/>
      <c r="K158" s="96"/>
      <c r="M158" s="405"/>
      <c r="N158" s="25"/>
      <c r="O158" s="404"/>
    </row>
    <row r="159" spans="1:17" x14ac:dyDescent="0.25">
      <c r="A159" s="93" t="s">
        <v>17</v>
      </c>
      <c r="B159" s="58"/>
      <c r="C159" s="59">
        <v>2</v>
      </c>
      <c r="D159" s="59">
        <v>2.8</v>
      </c>
      <c r="E159" s="59"/>
      <c r="F159" s="59"/>
      <c r="G159" s="60"/>
      <c r="H159" s="59"/>
      <c r="I159" s="59">
        <f>C159*D159</f>
        <v>5.6</v>
      </c>
      <c r="J159" s="67"/>
      <c r="K159" s="61"/>
      <c r="M159" s="405"/>
      <c r="N159" s="25"/>
      <c r="O159" s="404"/>
    </row>
    <row r="160" spans="1:17" x14ac:dyDescent="0.25">
      <c r="A160" s="93" t="s">
        <v>18</v>
      </c>
      <c r="B160" s="58"/>
      <c r="C160" s="59">
        <v>2</v>
      </c>
      <c r="D160" s="59">
        <v>2.8</v>
      </c>
      <c r="E160" s="59"/>
      <c r="F160" s="59"/>
      <c r="G160" s="60"/>
      <c r="H160" s="59"/>
      <c r="I160" s="59">
        <f>C160*D160</f>
        <v>5.6</v>
      </c>
      <c r="J160" s="67"/>
      <c r="K160" s="61"/>
      <c r="M160" s="405"/>
      <c r="N160" s="25"/>
      <c r="O160" s="404"/>
    </row>
    <row r="161" spans="1:15" x14ac:dyDescent="0.25">
      <c r="A161" s="93"/>
      <c r="B161" s="58"/>
      <c r="C161" s="59"/>
      <c r="D161" s="59"/>
      <c r="E161" s="59"/>
      <c r="F161" s="59"/>
      <c r="G161" s="60"/>
      <c r="H161" s="59"/>
      <c r="I161" s="59"/>
      <c r="J161" s="67"/>
      <c r="K161" s="61"/>
      <c r="M161" s="405"/>
      <c r="N161" s="25"/>
      <c r="O161" s="404"/>
    </row>
    <row r="162" spans="1:15" x14ac:dyDescent="0.25">
      <c r="A162" s="102" t="s">
        <v>324</v>
      </c>
      <c r="B162" s="68"/>
      <c r="C162" s="69"/>
      <c r="D162" s="69"/>
      <c r="E162" s="69"/>
      <c r="F162" s="69"/>
      <c r="G162" s="60"/>
      <c r="H162" s="69"/>
      <c r="I162" s="59"/>
      <c r="J162" s="67"/>
      <c r="K162" s="61"/>
      <c r="M162" s="405"/>
      <c r="N162" s="25"/>
      <c r="O162" s="404"/>
    </row>
    <row r="163" spans="1:15" x14ac:dyDescent="0.25">
      <c r="A163" s="93" t="s">
        <v>29</v>
      </c>
      <c r="B163" s="58"/>
      <c r="C163" s="59">
        <f>1.26+0.025+1.545+0.08</f>
        <v>2.91</v>
      </c>
      <c r="D163" s="59">
        <v>2.82</v>
      </c>
      <c r="E163" s="59"/>
      <c r="F163" s="59"/>
      <c r="G163" s="60"/>
      <c r="H163" s="59"/>
      <c r="I163" s="59">
        <f>C163*D163</f>
        <v>8.2061999999999991</v>
      </c>
      <c r="J163" s="67"/>
      <c r="K163" s="61"/>
      <c r="M163" s="405"/>
      <c r="N163" s="25"/>
      <c r="O163" s="404"/>
    </row>
    <row r="164" spans="1:15" x14ac:dyDescent="0.25">
      <c r="A164" s="72" t="s">
        <v>45</v>
      </c>
      <c r="B164" s="73"/>
      <c r="C164" s="62">
        <f>C163-0.08</f>
        <v>2.83</v>
      </c>
      <c r="D164" s="62">
        <v>0.6</v>
      </c>
      <c r="E164" s="63"/>
      <c r="F164" s="63"/>
      <c r="G164" s="74">
        <v>1</v>
      </c>
      <c r="H164" s="63"/>
      <c r="I164" s="64">
        <f>C164*D164*G164*-1</f>
        <v>-1.698</v>
      </c>
      <c r="J164" s="63"/>
      <c r="K164" s="65"/>
      <c r="M164" s="405"/>
      <c r="N164" s="25"/>
      <c r="O164" s="404"/>
    </row>
    <row r="165" spans="1:15" x14ac:dyDescent="0.25">
      <c r="A165" s="93" t="s">
        <v>27</v>
      </c>
      <c r="B165" s="58"/>
      <c r="C165" s="59">
        <f>1.26+0.025+1.545</f>
        <v>2.83</v>
      </c>
      <c r="D165" s="59">
        <v>2.82</v>
      </c>
      <c r="E165" s="59"/>
      <c r="F165" s="59"/>
      <c r="G165" s="60"/>
      <c r="H165" s="59"/>
      <c r="I165" s="59">
        <f>C165*D165</f>
        <v>7.9805999999999999</v>
      </c>
      <c r="J165" s="67"/>
      <c r="K165" s="61"/>
      <c r="M165" s="405"/>
      <c r="N165" s="25"/>
      <c r="O165" s="404"/>
    </row>
    <row r="166" spans="1:15" x14ac:dyDescent="0.25">
      <c r="A166" s="72" t="s">
        <v>60</v>
      </c>
      <c r="B166" s="73"/>
      <c r="C166" s="62">
        <v>0.87</v>
      </c>
      <c r="D166" s="63">
        <v>2.14</v>
      </c>
      <c r="E166" s="63"/>
      <c r="F166" s="63"/>
      <c r="G166" s="74">
        <v>1</v>
      </c>
      <c r="H166" s="63"/>
      <c r="I166" s="64">
        <f>C166*D166*G166*-1</f>
        <v>-1.8618000000000001</v>
      </c>
      <c r="J166" s="63"/>
      <c r="K166" s="65"/>
      <c r="M166" s="405"/>
      <c r="N166" s="25"/>
      <c r="O166" s="404"/>
    </row>
    <row r="167" spans="1:15" x14ac:dyDescent="0.25">
      <c r="A167" s="57" t="s">
        <v>56</v>
      </c>
      <c r="B167" s="68"/>
      <c r="C167" s="99">
        <v>0.87</v>
      </c>
      <c r="D167" s="99">
        <v>2.14</v>
      </c>
      <c r="E167" s="99">
        <v>0.27</v>
      </c>
      <c r="F167" s="99"/>
      <c r="G167" s="95">
        <v>1</v>
      </c>
      <c r="H167" s="99">
        <f>G167*(D167+C167+D167)</f>
        <v>5.15</v>
      </c>
      <c r="I167" s="94">
        <f>H167*E167</f>
        <v>1.3905000000000003</v>
      </c>
      <c r="J167" s="100"/>
      <c r="K167" s="96"/>
      <c r="M167" s="405"/>
      <c r="N167" s="25"/>
      <c r="O167" s="404"/>
    </row>
    <row r="168" spans="1:15" x14ac:dyDescent="0.25">
      <c r="A168" s="93" t="s">
        <v>17</v>
      </c>
      <c r="B168" s="58"/>
      <c r="C168" s="59">
        <f>2+0.16+2.605</f>
        <v>4.7650000000000006</v>
      </c>
      <c r="D168" s="59">
        <v>2.82</v>
      </c>
      <c r="E168" s="59"/>
      <c r="F168" s="59"/>
      <c r="G168" s="60"/>
      <c r="H168" s="59"/>
      <c r="I168" s="59">
        <f>C168*D168</f>
        <v>13.4373</v>
      </c>
      <c r="J168" s="67"/>
      <c r="K168" s="61"/>
      <c r="M168" s="405"/>
      <c r="N168" s="25"/>
      <c r="O168" s="404"/>
    </row>
    <row r="169" spans="1:15" x14ac:dyDescent="0.25">
      <c r="A169" s="72" t="s">
        <v>134</v>
      </c>
      <c r="B169" s="73"/>
      <c r="C169" s="62">
        <v>0.80800000000000005</v>
      </c>
      <c r="D169" s="62">
        <v>2.11</v>
      </c>
      <c r="E169" s="63"/>
      <c r="F169" s="63"/>
      <c r="G169" s="74">
        <v>1</v>
      </c>
      <c r="H169" s="63"/>
      <c r="I169" s="64">
        <f>C169*D169*G169*-1</f>
        <v>-1.70488</v>
      </c>
      <c r="J169" s="63"/>
      <c r="K169" s="65"/>
      <c r="M169" s="405"/>
      <c r="N169" s="25"/>
      <c r="O169" s="404"/>
    </row>
    <row r="170" spans="1:15" x14ac:dyDescent="0.25">
      <c r="A170" s="57" t="s">
        <v>153</v>
      </c>
      <c r="B170" s="68"/>
      <c r="C170" s="99">
        <v>0.80800000000000005</v>
      </c>
      <c r="D170" s="99">
        <v>2.11</v>
      </c>
      <c r="E170" s="99">
        <v>0.21199999999999999</v>
      </c>
      <c r="F170" s="99"/>
      <c r="G170" s="95">
        <v>1</v>
      </c>
      <c r="H170" s="99">
        <f>G170*(D170+C170+D170)</f>
        <v>5.0280000000000005</v>
      </c>
      <c r="I170" s="94">
        <f>H170*E170</f>
        <v>1.065936</v>
      </c>
      <c r="J170" s="100"/>
      <c r="K170" s="96"/>
      <c r="M170" s="405"/>
      <c r="N170" s="25"/>
      <c r="O170" s="404"/>
    </row>
    <row r="171" spans="1:15" x14ac:dyDescent="0.25">
      <c r="A171" s="93" t="s">
        <v>18</v>
      </c>
      <c r="B171" s="58"/>
      <c r="C171" s="59">
        <f>2+0.16+2.605</f>
        <v>4.7650000000000006</v>
      </c>
      <c r="D171" s="59">
        <v>2.82</v>
      </c>
      <c r="E171" s="59"/>
      <c r="F171" s="59"/>
      <c r="G171" s="60"/>
      <c r="H171" s="59"/>
      <c r="I171" s="59">
        <f>C171*D171</f>
        <v>13.4373</v>
      </c>
      <c r="J171" s="67"/>
      <c r="K171" s="61"/>
      <c r="M171" s="405"/>
      <c r="N171" s="25"/>
      <c r="O171" s="404"/>
    </row>
    <row r="172" spans="1:15" x14ac:dyDescent="0.25">
      <c r="A172" s="72" t="s">
        <v>133</v>
      </c>
      <c r="B172" s="73"/>
      <c r="C172" s="62">
        <v>2.1150000000000002</v>
      </c>
      <c r="D172" s="62">
        <v>0.17</v>
      </c>
      <c r="E172" s="63"/>
      <c r="F172" s="63"/>
      <c r="G172" s="74">
        <v>1</v>
      </c>
      <c r="H172" s="63"/>
      <c r="I172" s="64">
        <f>C172*D172*G172*-1</f>
        <v>-0.35955000000000004</v>
      </c>
      <c r="J172" s="63"/>
      <c r="K172" s="65"/>
      <c r="M172" s="405"/>
      <c r="N172" s="25"/>
      <c r="O172" s="404"/>
    </row>
    <row r="173" spans="1:15" x14ac:dyDescent="0.25">
      <c r="A173" s="57" t="s">
        <v>202</v>
      </c>
      <c r="B173" s="68"/>
      <c r="C173" s="99">
        <v>1.6</v>
      </c>
      <c r="D173" s="99">
        <v>0.17</v>
      </c>
      <c r="E173" s="99"/>
      <c r="F173" s="99">
        <v>2.1150000000000002</v>
      </c>
      <c r="G173" s="95"/>
      <c r="H173" s="99">
        <f>C173+D173+C173</f>
        <v>3.37</v>
      </c>
      <c r="I173" s="94">
        <f>H173*F173</f>
        <v>7.1275500000000012</v>
      </c>
      <c r="J173" s="100"/>
      <c r="K173" s="96"/>
      <c r="M173" s="405"/>
      <c r="N173" s="25"/>
      <c r="O173" s="404"/>
    </row>
    <row r="174" spans="1:15" x14ac:dyDescent="0.25">
      <c r="A174" s="57" t="s">
        <v>154</v>
      </c>
      <c r="B174" s="68"/>
      <c r="C174" s="99">
        <v>1.6</v>
      </c>
      <c r="D174" s="99">
        <v>0.17</v>
      </c>
      <c r="E174" s="99"/>
      <c r="F174" s="99"/>
      <c r="G174" s="95"/>
      <c r="H174" s="99"/>
      <c r="I174" s="94">
        <f>C174*D174</f>
        <v>0.27200000000000002</v>
      </c>
      <c r="J174" s="100"/>
      <c r="K174" s="96"/>
      <c r="M174" s="405"/>
      <c r="N174" s="25"/>
      <c r="O174" s="404"/>
    </row>
    <row r="175" spans="1:15" x14ac:dyDescent="0.25">
      <c r="A175" s="93"/>
      <c r="B175" s="58"/>
      <c r="C175" s="59"/>
      <c r="D175" s="59"/>
      <c r="E175" s="59"/>
      <c r="F175" s="59"/>
      <c r="G175" s="60"/>
      <c r="H175" s="59"/>
      <c r="I175" s="59"/>
      <c r="J175" s="67"/>
      <c r="K175" s="61"/>
      <c r="M175" s="405"/>
      <c r="N175" s="25"/>
      <c r="O175" s="404"/>
    </row>
    <row r="176" spans="1:15" x14ac:dyDescent="0.25">
      <c r="A176" s="102" t="s">
        <v>333</v>
      </c>
      <c r="B176" s="68"/>
      <c r="C176" s="69"/>
      <c r="D176" s="69"/>
      <c r="E176" s="69"/>
      <c r="F176" s="69"/>
      <c r="G176" s="60"/>
      <c r="H176" s="69"/>
      <c r="I176" s="59"/>
      <c r="J176" s="67"/>
      <c r="K176" s="61"/>
      <c r="M176" s="405"/>
      <c r="N176" s="25"/>
      <c r="O176" s="404"/>
    </row>
    <row r="177" spans="1:15" x14ac:dyDescent="0.25">
      <c r="A177" s="93" t="s">
        <v>29</v>
      </c>
      <c r="B177" s="58"/>
      <c r="C177" s="59">
        <f>1.505+0.025+1.26</f>
        <v>2.79</v>
      </c>
      <c r="D177" s="59">
        <v>2.82</v>
      </c>
      <c r="E177" s="59"/>
      <c r="F177" s="59"/>
      <c r="G177" s="60"/>
      <c r="H177" s="59"/>
      <c r="I177" s="59">
        <f>C177*D177</f>
        <v>7.8677999999999999</v>
      </c>
      <c r="J177" s="67"/>
      <c r="K177" s="61"/>
      <c r="M177" s="405"/>
      <c r="N177" s="25"/>
      <c r="O177" s="404"/>
    </row>
    <row r="178" spans="1:15" x14ac:dyDescent="0.25">
      <c r="A178" s="72" t="s">
        <v>45</v>
      </c>
      <c r="B178" s="73"/>
      <c r="C178" s="62">
        <f>C177</f>
        <v>2.79</v>
      </c>
      <c r="D178" s="63">
        <v>0.6</v>
      </c>
      <c r="E178" s="63"/>
      <c r="F178" s="63"/>
      <c r="G178" s="74">
        <v>1</v>
      </c>
      <c r="H178" s="63"/>
      <c r="I178" s="64">
        <f>C178*D178*G178*-1</f>
        <v>-1.6739999999999999</v>
      </c>
      <c r="J178" s="63"/>
      <c r="K178" s="65"/>
      <c r="M178" s="405"/>
      <c r="N178" s="25"/>
      <c r="O178" s="404"/>
    </row>
    <row r="179" spans="1:15" x14ac:dyDescent="0.25">
      <c r="A179" s="93" t="s">
        <v>27</v>
      </c>
      <c r="B179" s="58"/>
      <c r="C179" s="59">
        <f>1.505+0.025+1.26</f>
        <v>2.79</v>
      </c>
      <c r="D179" s="59">
        <v>2.82</v>
      </c>
      <c r="E179" s="59"/>
      <c r="F179" s="59"/>
      <c r="G179" s="60"/>
      <c r="H179" s="59"/>
      <c r="I179" s="59">
        <f>C179*D179</f>
        <v>7.8677999999999999</v>
      </c>
      <c r="J179" s="67"/>
      <c r="K179" s="61"/>
      <c r="M179" s="405"/>
      <c r="N179" s="25"/>
      <c r="O179" s="404"/>
    </row>
    <row r="180" spans="1:15" x14ac:dyDescent="0.25">
      <c r="A180" s="93" t="s">
        <v>18</v>
      </c>
      <c r="B180" s="58"/>
      <c r="C180" s="59">
        <v>4.7650000000000006</v>
      </c>
      <c r="D180" s="59">
        <v>2.82</v>
      </c>
      <c r="E180" s="59"/>
      <c r="F180" s="59"/>
      <c r="G180" s="60"/>
      <c r="H180" s="59"/>
      <c r="I180" s="59">
        <f>C180*D180</f>
        <v>13.4373</v>
      </c>
      <c r="J180" s="67"/>
      <c r="K180" s="61"/>
      <c r="M180" s="405"/>
      <c r="N180" s="25"/>
      <c r="O180" s="404"/>
    </row>
    <row r="181" spans="1:15" x14ac:dyDescent="0.25">
      <c r="A181" s="72" t="s">
        <v>134</v>
      </c>
      <c r="B181" s="73"/>
      <c r="C181" s="62">
        <v>0.80800000000000005</v>
      </c>
      <c r="D181" s="62">
        <v>2.11</v>
      </c>
      <c r="E181" s="63"/>
      <c r="F181" s="63"/>
      <c r="G181" s="74">
        <v>1</v>
      </c>
      <c r="H181" s="63"/>
      <c r="I181" s="64">
        <f>C181*D181*G181*-1</f>
        <v>-1.70488</v>
      </c>
      <c r="J181" s="63"/>
      <c r="K181" s="65"/>
      <c r="M181" s="405"/>
      <c r="N181" s="25"/>
      <c r="O181" s="404"/>
    </row>
    <row r="182" spans="1:15" x14ac:dyDescent="0.25">
      <c r="A182" s="93" t="s">
        <v>17</v>
      </c>
      <c r="B182" s="58"/>
      <c r="C182" s="59">
        <v>4.7650000000000006</v>
      </c>
      <c r="D182" s="59">
        <v>2.82</v>
      </c>
      <c r="E182" s="59"/>
      <c r="F182" s="59"/>
      <c r="G182" s="60"/>
      <c r="H182" s="59"/>
      <c r="I182" s="59">
        <f>C182*D182</f>
        <v>13.4373</v>
      </c>
      <c r="J182" s="67"/>
      <c r="K182" s="61"/>
      <c r="M182" s="405"/>
      <c r="N182" s="25"/>
      <c r="O182" s="404"/>
    </row>
    <row r="183" spans="1:15" x14ac:dyDescent="0.25">
      <c r="A183" s="93"/>
      <c r="B183" s="58"/>
      <c r="C183" s="59"/>
      <c r="D183" s="59"/>
      <c r="E183" s="59"/>
      <c r="F183" s="59"/>
      <c r="G183" s="60"/>
      <c r="H183" s="59"/>
      <c r="I183" s="59"/>
      <c r="J183" s="67"/>
      <c r="K183" s="61"/>
      <c r="M183" s="405"/>
      <c r="N183" s="25"/>
      <c r="O183" s="404"/>
    </row>
    <row r="184" spans="1:15" x14ac:dyDescent="0.25">
      <c r="A184" s="102" t="s">
        <v>322</v>
      </c>
      <c r="B184" s="68"/>
      <c r="C184" s="69"/>
      <c r="D184" s="69"/>
      <c r="E184" s="69"/>
      <c r="F184" s="69"/>
      <c r="G184" s="60"/>
      <c r="H184" s="69"/>
      <c r="I184" s="59"/>
      <c r="J184" s="67"/>
      <c r="K184" s="61"/>
      <c r="M184" s="405"/>
      <c r="N184" s="25"/>
      <c r="O184" s="404"/>
    </row>
    <row r="185" spans="1:15" x14ac:dyDescent="0.25">
      <c r="A185" s="93" t="s">
        <v>29</v>
      </c>
      <c r="B185" s="58"/>
      <c r="C185" s="59">
        <v>1.27</v>
      </c>
      <c r="D185" s="59">
        <v>2.82</v>
      </c>
      <c r="E185" s="59"/>
      <c r="F185" s="59"/>
      <c r="G185" s="60"/>
      <c r="H185" s="59"/>
      <c r="I185" s="59">
        <f>C185*D185</f>
        <v>3.5813999999999999</v>
      </c>
      <c r="J185" s="67"/>
      <c r="K185" s="61"/>
      <c r="M185" s="405"/>
      <c r="N185" s="25"/>
      <c r="O185" s="404"/>
    </row>
    <row r="186" spans="1:15" x14ac:dyDescent="0.25">
      <c r="A186" s="93" t="s">
        <v>27</v>
      </c>
      <c r="B186" s="58"/>
      <c r="C186" s="59">
        <v>1.27</v>
      </c>
      <c r="D186" s="59">
        <v>2.82</v>
      </c>
      <c r="E186" s="59"/>
      <c r="F186" s="59"/>
      <c r="G186" s="60"/>
      <c r="H186" s="59"/>
      <c r="I186" s="59">
        <f>C186*D186</f>
        <v>3.5813999999999999</v>
      </c>
      <c r="J186" s="67"/>
      <c r="K186" s="61"/>
      <c r="M186" s="405"/>
      <c r="N186" s="25"/>
      <c r="O186" s="404"/>
    </row>
    <row r="187" spans="1:15" x14ac:dyDescent="0.25">
      <c r="A187" s="93" t="s">
        <v>17</v>
      </c>
      <c r="B187" s="58"/>
      <c r="C187" s="59">
        <f>1.77+0.99</f>
        <v>2.76</v>
      </c>
      <c r="D187" s="59">
        <v>2.82</v>
      </c>
      <c r="E187" s="59"/>
      <c r="F187" s="59"/>
      <c r="G187" s="60"/>
      <c r="H187" s="59"/>
      <c r="I187" s="59">
        <f>C187*D187</f>
        <v>7.783199999999999</v>
      </c>
      <c r="J187" s="67"/>
      <c r="K187" s="61"/>
      <c r="M187" s="405"/>
      <c r="N187" s="25"/>
      <c r="O187" s="404"/>
    </row>
    <row r="188" spans="1:15" x14ac:dyDescent="0.25">
      <c r="A188" s="72" t="s">
        <v>96</v>
      </c>
      <c r="B188" s="73"/>
      <c r="C188" s="62">
        <v>0.77</v>
      </c>
      <c r="D188" s="63">
        <v>2.14</v>
      </c>
      <c r="E188" s="63"/>
      <c r="F188" s="63"/>
      <c r="G188" s="74">
        <v>1</v>
      </c>
      <c r="H188" s="63"/>
      <c r="I188" s="64">
        <f>C188*D188*G188*-1</f>
        <v>-1.6478000000000002</v>
      </c>
      <c r="J188" s="63"/>
      <c r="K188" s="65"/>
      <c r="M188" s="405"/>
      <c r="N188" s="25"/>
      <c r="O188" s="404"/>
    </row>
    <row r="189" spans="1:15" x14ac:dyDescent="0.25">
      <c r="A189" s="57" t="s">
        <v>102</v>
      </c>
      <c r="B189" s="68"/>
      <c r="C189" s="99">
        <v>0.77</v>
      </c>
      <c r="D189" s="99">
        <v>2.14</v>
      </c>
      <c r="E189" s="99">
        <v>0.155</v>
      </c>
      <c r="F189" s="99"/>
      <c r="G189" s="95">
        <v>1</v>
      </c>
      <c r="H189" s="99">
        <f>G189*(D189+C189+D189)</f>
        <v>5.0500000000000007</v>
      </c>
      <c r="I189" s="94">
        <f>H189*E189</f>
        <v>0.78275000000000006</v>
      </c>
      <c r="J189" s="100"/>
      <c r="K189" s="96"/>
      <c r="M189" s="405"/>
      <c r="N189" s="25"/>
      <c r="O189" s="404"/>
    </row>
    <row r="190" spans="1:15" x14ac:dyDescent="0.25">
      <c r="A190" s="93" t="s">
        <v>18</v>
      </c>
      <c r="B190" s="58"/>
      <c r="C190" s="59">
        <v>2.76</v>
      </c>
      <c r="D190" s="59">
        <v>2.82</v>
      </c>
      <c r="E190" s="59"/>
      <c r="F190" s="59"/>
      <c r="G190" s="60"/>
      <c r="H190" s="59"/>
      <c r="I190" s="59">
        <f>C190*D190</f>
        <v>7.783199999999999</v>
      </c>
      <c r="J190" s="67"/>
      <c r="K190" s="61"/>
      <c r="M190" s="405"/>
      <c r="N190" s="25"/>
      <c r="O190" s="404"/>
    </row>
    <row r="191" spans="1:15" x14ac:dyDescent="0.25">
      <c r="A191" s="72" t="s">
        <v>155</v>
      </c>
      <c r="B191" s="73"/>
      <c r="C191" s="62">
        <v>1.9</v>
      </c>
      <c r="D191" s="62">
        <v>0.6</v>
      </c>
      <c r="E191" s="63"/>
      <c r="F191" s="63"/>
      <c r="G191" s="74">
        <v>1</v>
      </c>
      <c r="H191" s="63"/>
      <c r="I191" s="64">
        <f>C191*D191*G191*-1</f>
        <v>-1.1399999999999999</v>
      </c>
      <c r="J191" s="63"/>
      <c r="K191" s="65"/>
      <c r="M191" s="405"/>
      <c r="N191" s="25"/>
      <c r="O191" s="404"/>
    </row>
    <row r="192" spans="1:15" ht="15.75" thickBot="1" x14ac:dyDescent="0.3">
      <c r="A192" s="78" t="s">
        <v>156</v>
      </c>
      <c r="B192" s="103"/>
      <c r="C192" s="455">
        <v>1.9</v>
      </c>
      <c r="D192" s="455">
        <v>0.6</v>
      </c>
      <c r="E192" s="455">
        <v>0.26</v>
      </c>
      <c r="F192" s="455"/>
      <c r="G192" s="456">
        <v>1</v>
      </c>
      <c r="H192" s="455">
        <f>G192*(D192+C192)*2</f>
        <v>5</v>
      </c>
      <c r="I192" s="457">
        <f>H192*E192</f>
        <v>1.3</v>
      </c>
      <c r="J192" s="458"/>
      <c r="K192" s="459"/>
      <c r="M192" s="407"/>
      <c r="N192" s="408"/>
      <c r="O192" s="409"/>
    </row>
    <row r="193" spans="1:15" ht="15.75" thickBot="1" x14ac:dyDescent="0.3"/>
    <row r="194" spans="1:15" ht="15.75" thickBot="1" x14ac:dyDescent="0.3">
      <c r="A194" s="47" t="s">
        <v>62</v>
      </c>
      <c r="B194" s="48"/>
      <c r="C194" s="49" t="s">
        <v>2</v>
      </c>
      <c r="D194" s="49" t="s">
        <v>3</v>
      </c>
      <c r="E194" s="49" t="s">
        <v>4</v>
      </c>
      <c r="F194" s="49" t="s">
        <v>5</v>
      </c>
      <c r="G194" s="50" t="s">
        <v>1</v>
      </c>
      <c r="H194" s="49" t="s">
        <v>6</v>
      </c>
      <c r="I194" s="49" t="s">
        <v>7</v>
      </c>
      <c r="J194" s="49" t="s">
        <v>8</v>
      </c>
      <c r="K194" s="51" t="s">
        <v>9</v>
      </c>
    </row>
    <row r="195" spans="1:15" x14ac:dyDescent="0.25">
      <c r="A195" s="85" t="s">
        <v>334</v>
      </c>
      <c r="B195" s="86" t="s">
        <v>35</v>
      </c>
      <c r="C195" s="87"/>
      <c r="D195" s="87"/>
      <c r="E195" s="87"/>
      <c r="F195" s="87"/>
      <c r="G195" s="88"/>
      <c r="H195" s="87"/>
      <c r="I195" s="89">
        <f>SUM(I196:I205)</f>
        <v>31.10331</v>
      </c>
      <c r="J195" s="90"/>
      <c r="K195" s="91"/>
      <c r="M195" s="400">
        <f>SUM(N198:N202)</f>
        <v>31.740000000000002</v>
      </c>
      <c r="N195" s="401">
        <f>M195-I195</f>
        <v>0.63669000000000153</v>
      </c>
      <c r="O195" s="402">
        <f>N195/M195</f>
        <v>2.0059546313799668E-2</v>
      </c>
    </row>
    <row r="196" spans="1:15" x14ac:dyDescent="0.25">
      <c r="A196" s="92" t="s">
        <v>324</v>
      </c>
      <c r="B196" s="58"/>
      <c r="C196" s="59">
        <f>2.605+0.16+2+0.04</f>
        <v>4.8050000000000006</v>
      </c>
      <c r="D196" s="67">
        <f>1.545+0.025+1.26+0.04</f>
        <v>2.87</v>
      </c>
      <c r="E196" s="67"/>
      <c r="F196" s="59"/>
      <c r="G196" s="60"/>
      <c r="H196" s="59"/>
      <c r="I196" s="59">
        <f>C196*D196</f>
        <v>13.790350000000002</v>
      </c>
      <c r="J196" s="67"/>
      <c r="K196" s="61"/>
      <c r="M196" s="405"/>
      <c r="N196" s="25"/>
      <c r="O196" s="404"/>
    </row>
    <row r="197" spans="1:15" x14ac:dyDescent="0.25">
      <c r="A197" s="72" t="s">
        <v>133</v>
      </c>
      <c r="B197" s="73"/>
      <c r="C197" s="62">
        <v>1.58</v>
      </c>
      <c r="D197" s="62">
        <v>0.16</v>
      </c>
      <c r="E197" s="63"/>
      <c r="F197" s="63"/>
      <c r="G197" s="74">
        <v>1</v>
      </c>
      <c r="H197" s="63"/>
      <c r="I197" s="64">
        <f>C197*D197*G197*-1</f>
        <v>-0.25280000000000002</v>
      </c>
      <c r="J197" s="63"/>
      <c r="K197" s="65"/>
      <c r="M197" s="405" t="s">
        <v>205</v>
      </c>
      <c r="N197" s="25" t="s">
        <v>204</v>
      </c>
      <c r="O197" s="406"/>
    </row>
    <row r="198" spans="1:15" x14ac:dyDescent="0.25">
      <c r="A198" s="92" t="s">
        <v>134</v>
      </c>
      <c r="B198" s="58"/>
      <c r="C198" s="67">
        <v>0.80800000000000005</v>
      </c>
      <c r="D198" s="67">
        <v>0.245</v>
      </c>
      <c r="E198" s="59"/>
      <c r="F198" s="59"/>
      <c r="G198" s="60"/>
      <c r="H198" s="59"/>
      <c r="I198" s="59">
        <f t="shared" ref="I198" si="38">C198*D198</f>
        <v>0.19796</v>
      </c>
      <c r="J198" s="67"/>
      <c r="K198" s="61"/>
      <c r="M198" s="405">
        <v>1.5</v>
      </c>
      <c r="N198" s="3">
        <v>4.84</v>
      </c>
      <c r="O198" s="406"/>
    </row>
    <row r="199" spans="1:15" x14ac:dyDescent="0.25">
      <c r="A199" s="92" t="s">
        <v>145</v>
      </c>
      <c r="B199" s="58"/>
      <c r="C199" s="59">
        <f>2.605+0.16+2+0.04</f>
        <v>4.8050000000000006</v>
      </c>
      <c r="D199" s="67">
        <f>1.505+0.025+1.26+0.04</f>
        <v>2.83</v>
      </c>
      <c r="E199" s="59"/>
      <c r="F199" s="59"/>
      <c r="G199" s="60"/>
      <c r="H199" s="59"/>
      <c r="I199" s="59">
        <f t="shared" ref="I199" si="39">C199*D199</f>
        <v>13.598150000000002</v>
      </c>
      <c r="J199" s="67"/>
      <c r="K199" s="61"/>
      <c r="M199" s="405">
        <v>3</v>
      </c>
      <c r="N199" s="3">
        <v>0.05</v>
      </c>
      <c r="O199" s="406"/>
    </row>
    <row r="200" spans="1:15" x14ac:dyDescent="0.25">
      <c r="A200" s="72" t="s">
        <v>108</v>
      </c>
      <c r="B200" s="73"/>
      <c r="C200" s="62">
        <f>2+0.16</f>
        <v>2.16</v>
      </c>
      <c r="D200" s="62">
        <f>1.5+0.16</f>
        <v>1.66</v>
      </c>
      <c r="E200" s="63"/>
      <c r="F200" s="63"/>
      <c r="G200" s="74">
        <v>1</v>
      </c>
      <c r="H200" s="63"/>
      <c r="I200" s="64">
        <f>C200*D200*G200*-1</f>
        <v>-3.5855999999999999</v>
      </c>
      <c r="J200" s="63"/>
      <c r="K200" s="65"/>
      <c r="M200" s="405">
        <v>3.5</v>
      </c>
      <c r="N200" s="3">
        <v>23.1</v>
      </c>
      <c r="O200" s="406"/>
    </row>
    <row r="201" spans="1:15" x14ac:dyDescent="0.25">
      <c r="A201" s="92" t="s">
        <v>322</v>
      </c>
      <c r="B201" s="58"/>
      <c r="C201" s="67">
        <f>0.05+0.77+1.94+0.04</f>
        <v>2.8</v>
      </c>
      <c r="D201" s="67">
        <f>1.27+0.04</f>
        <v>1.31</v>
      </c>
      <c r="E201" s="59"/>
      <c r="F201" s="59"/>
      <c r="G201" s="60"/>
      <c r="H201" s="59"/>
      <c r="I201" s="59">
        <f t="shared" ref="I201:I204" si="40">C201*D201</f>
        <v>3.6679999999999997</v>
      </c>
      <c r="J201" s="67"/>
      <c r="K201" s="61"/>
      <c r="M201" s="405">
        <v>5</v>
      </c>
      <c r="N201" s="3">
        <v>0.53</v>
      </c>
      <c r="O201" s="406"/>
    </row>
    <row r="202" spans="1:15" x14ac:dyDescent="0.25">
      <c r="A202" s="92" t="s">
        <v>108</v>
      </c>
      <c r="B202" s="58"/>
      <c r="C202" s="67">
        <f>2+0.04</f>
        <v>2.04</v>
      </c>
      <c r="D202" s="67">
        <f>1.5+0.04</f>
        <v>1.54</v>
      </c>
      <c r="E202" s="59"/>
      <c r="F202" s="59"/>
      <c r="G202" s="60"/>
      <c r="H202" s="59"/>
      <c r="I202" s="59">
        <f t="shared" si="40"/>
        <v>3.1415999999999999</v>
      </c>
      <c r="J202" s="67"/>
      <c r="K202" s="61"/>
      <c r="M202" s="405">
        <v>5.5</v>
      </c>
      <c r="N202" s="3">
        <v>3.22</v>
      </c>
      <c r="O202" s="406"/>
    </row>
    <row r="203" spans="1:15" x14ac:dyDescent="0.25">
      <c r="A203" s="57" t="s">
        <v>146</v>
      </c>
      <c r="B203" s="58"/>
      <c r="C203" s="67">
        <v>0.87</v>
      </c>
      <c r="D203" s="67">
        <v>0.245</v>
      </c>
      <c r="E203" s="59"/>
      <c r="F203" s="59"/>
      <c r="G203" s="60"/>
      <c r="H203" s="59"/>
      <c r="I203" s="59">
        <f t="shared" ref="I203" si="41">C203*D203</f>
        <v>0.21315000000000001</v>
      </c>
      <c r="J203" s="67"/>
      <c r="K203" s="61"/>
      <c r="M203" s="405"/>
      <c r="N203" s="3"/>
      <c r="O203" s="406"/>
    </row>
    <row r="204" spans="1:15" x14ac:dyDescent="0.25">
      <c r="A204" s="57" t="s">
        <v>184</v>
      </c>
      <c r="B204" s="58"/>
      <c r="C204" s="67">
        <v>0.87</v>
      </c>
      <c r="D204" s="67">
        <v>0.245</v>
      </c>
      <c r="E204" s="59"/>
      <c r="F204" s="59"/>
      <c r="G204" s="60"/>
      <c r="H204" s="59"/>
      <c r="I204" s="59">
        <f t="shared" si="40"/>
        <v>0.21315000000000001</v>
      </c>
      <c r="J204" s="67"/>
      <c r="K204" s="61"/>
      <c r="M204" s="405" t="s">
        <v>206</v>
      </c>
      <c r="N204" s="3">
        <f>SUMPRODUCT(M198:M203,N198:N203)/SUM(N198:N203)</f>
        <v>3.4221802142407056</v>
      </c>
      <c r="O204" s="406"/>
    </row>
    <row r="205" spans="1:15" ht="15.75" thickBot="1" x14ac:dyDescent="0.3">
      <c r="A205" s="78" t="s">
        <v>185</v>
      </c>
      <c r="B205" s="79"/>
      <c r="C205" s="83">
        <v>0.77</v>
      </c>
      <c r="D205" s="83">
        <v>0.155</v>
      </c>
      <c r="E205" s="80"/>
      <c r="F205" s="80"/>
      <c r="G205" s="411"/>
      <c r="H205" s="80"/>
      <c r="I205" s="80">
        <f t="shared" ref="I205" si="42">C205*D205</f>
        <v>0.11935</v>
      </c>
      <c r="J205" s="83"/>
      <c r="K205" s="84"/>
      <c r="M205" s="407"/>
      <c r="N205" s="207"/>
      <c r="O205" s="451"/>
    </row>
    <row r="206" spans="1:15" ht="15.75" thickBot="1" x14ac:dyDescent="0.3"/>
    <row r="207" spans="1:15" ht="15.75" thickBot="1" x14ac:dyDescent="0.3">
      <c r="A207" s="47" t="s">
        <v>49</v>
      </c>
      <c r="B207" s="48"/>
      <c r="C207" s="49" t="s">
        <v>2</v>
      </c>
      <c r="D207" s="49" t="s">
        <v>3</v>
      </c>
      <c r="E207" s="49" t="s">
        <v>4</v>
      </c>
      <c r="F207" s="49" t="s">
        <v>5</v>
      </c>
      <c r="G207" s="50" t="s">
        <v>1</v>
      </c>
      <c r="H207" s="49" t="s">
        <v>6</v>
      </c>
      <c r="I207" s="49" t="s">
        <v>7</v>
      </c>
      <c r="J207" s="49" t="s">
        <v>8</v>
      </c>
      <c r="K207" s="51" t="s">
        <v>9</v>
      </c>
    </row>
    <row r="208" spans="1:15" x14ac:dyDescent="0.25">
      <c r="A208" s="85" t="s">
        <v>57</v>
      </c>
      <c r="B208" s="86" t="s">
        <v>35</v>
      </c>
      <c r="C208" s="87"/>
      <c r="D208" s="87"/>
      <c r="E208" s="87"/>
      <c r="F208" s="87"/>
      <c r="G208" s="88"/>
      <c r="H208" s="87"/>
      <c r="I208" s="89">
        <f>I209+I210</f>
        <v>66.687260000000009</v>
      </c>
      <c r="J208" s="90"/>
      <c r="K208" s="91" t="s">
        <v>99</v>
      </c>
      <c r="M208" s="400">
        <f>M209+M210</f>
        <v>67.150000000000006</v>
      </c>
      <c r="N208" s="401">
        <f>M208-I208</f>
        <v>0.4627399999999966</v>
      </c>
      <c r="O208" s="402">
        <f>N208/M208</f>
        <v>6.8911392405062782E-3</v>
      </c>
    </row>
    <row r="209" spans="1:15" x14ac:dyDescent="0.25">
      <c r="A209" s="194" t="s">
        <v>46</v>
      </c>
      <c r="B209" s="187"/>
      <c r="C209" s="188"/>
      <c r="D209" s="188"/>
      <c r="E209" s="188"/>
      <c r="F209" s="188"/>
      <c r="G209" s="189"/>
      <c r="H209" s="188"/>
      <c r="I209" s="188">
        <f>SUM(I196:I202)</f>
        <v>30.557660000000002</v>
      </c>
      <c r="J209" s="190"/>
      <c r="K209" s="191"/>
      <c r="L209" s="192"/>
      <c r="M209" s="452">
        <v>30.09</v>
      </c>
      <c r="N209" s="193">
        <f>M209-I209</f>
        <v>-0.46766000000000219</v>
      </c>
      <c r="O209" s="417">
        <f t="shared" ref="O209:O210" si="43">N209/M209</f>
        <v>-1.5542040545031645E-2</v>
      </c>
    </row>
    <row r="210" spans="1:15" x14ac:dyDescent="0.25">
      <c r="A210" s="194" t="s">
        <v>44</v>
      </c>
      <c r="B210" s="187"/>
      <c r="C210" s="188"/>
      <c r="D210" s="188"/>
      <c r="E210" s="188"/>
      <c r="F210" s="188"/>
      <c r="G210" s="189"/>
      <c r="H210" s="188"/>
      <c r="I210" s="188">
        <f>SUM(I211:I227)</f>
        <v>36.129600000000003</v>
      </c>
      <c r="J210" s="190"/>
      <c r="K210" s="191"/>
      <c r="L210" s="192"/>
      <c r="M210" s="452">
        <f>21.74+15.32</f>
        <v>37.06</v>
      </c>
      <c r="N210" s="193">
        <f>M210-SUM(I211:I227)</f>
        <v>0.93039999999999878</v>
      </c>
      <c r="O210" s="417">
        <f t="shared" si="43"/>
        <v>2.5105234754452206E-2</v>
      </c>
    </row>
    <row r="211" spans="1:15" x14ac:dyDescent="0.25">
      <c r="A211" s="92" t="s">
        <v>144</v>
      </c>
      <c r="B211" s="58"/>
      <c r="C211" s="67">
        <v>4.7650000000000006</v>
      </c>
      <c r="D211" s="67">
        <v>2.79</v>
      </c>
      <c r="E211" s="59"/>
      <c r="F211" s="59">
        <v>0.6</v>
      </c>
      <c r="G211" s="60"/>
      <c r="H211" s="59">
        <f>(C211+D211)*2</f>
        <v>15.110000000000001</v>
      </c>
      <c r="I211" s="59">
        <f>H211*F211</f>
        <v>9.0660000000000007</v>
      </c>
      <c r="J211" s="67"/>
      <c r="K211" s="61"/>
      <c r="M211" s="405"/>
      <c r="N211" s="25"/>
      <c r="O211" s="404"/>
    </row>
    <row r="212" spans="1:15" x14ac:dyDescent="0.25">
      <c r="A212" s="72" t="s">
        <v>134</v>
      </c>
      <c r="B212" s="73"/>
      <c r="C212" s="62">
        <v>0.80800000000000005</v>
      </c>
      <c r="D212" s="63"/>
      <c r="E212" s="62">
        <v>0.6</v>
      </c>
      <c r="F212" s="62"/>
      <c r="G212" s="74">
        <v>1</v>
      </c>
      <c r="H212" s="63"/>
      <c r="I212" s="64">
        <f>C212*G212*E212-1</f>
        <v>-0.51519999999999999</v>
      </c>
      <c r="J212" s="63"/>
      <c r="K212" s="65"/>
      <c r="M212" s="405"/>
      <c r="N212" s="25" t="s">
        <v>41</v>
      </c>
      <c r="O212" s="404"/>
    </row>
    <row r="213" spans="1:15" x14ac:dyDescent="0.25">
      <c r="A213" s="72" t="s">
        <v>133</v>
      </c>
      <c r="B213" s="73"/>
      <c r="C213" s="62">
        <v>0.17</v>
      </c>
      <c r="D213" s="63"/>
      <c r="E213" s="62">
        <v>0.6</v>
      </c>
      <c r="F213" s="62"/>
      <c r="G213" s="74">
        <v>1</v>
      </c>
      <c r="H213" s="63"/>
      <c r="I213" s="64">
        <f>C213*G213*E213-1</f>
        <v>-0.89800000000000002</v>
      </c>
      <c r="J213" s="63"/>
      <c r="K213" s="65"/>
      <c r="M213" s="405"/>
      <c r="N213" s="25" t="s">
        <v>41</v>
      </c>
      <c r="O213" s="404"/>
    </row>
    <row r="214" spans="1:15" x14ac:dyDescent="0.25">
      <c r="A214" s="72" t="s">
        <v>60</v>
      </c>
      <c r="B214" s="73"/>
      <c r="C214" s="62">
        <v>0.87</v>
      </c>
      <c r="D214" s="63"/>
      <c r="E214" s="62">
        <v>0.6</v>
      </c>
      <c r="F214" s="62"/>
      <c r="G214" s="74">
        <v>1</v>
      </c>
      <c r="H214" s="63"/>
      <c r="I214" s="64">
        <f>C214*G214*E214-1</f>
        <v>-0.47799999999999998</v>
      </c>
      <c r="J214" s="63"/>
      <c r="K214" s="65"/>
      <c r="M214" s="405"/>
      <c r="N214" s="25" t="s">
        <v>41</v>
      </c>
      <c r="O214" s="404"/>
    </row>
    <row r="215" spans="1:15" x14ac:dyDescent="0.25">
      <c r="A215" s="57" t="s">
        <v>133</v>
      </c>
      <c r="B215" s="58"/>
      <c r="C215" s="67">
        <v>1.6</v>
      </c>
      <c r="D215" s="67">
        <v>0.17</v>
      </c>
      <c r="E215" s="59"/>
      <c r="F215" s="59">
        <v>0.6</v>
      </c>
      <c r="G215" s="60"/>
      <c r="H215" s="59">
        <f>C215+D215+C215</f>
        <v>3.37</v>
      </c>
      <c r="I215" s="59">
        <f>H215*F215</f>
        <v>2.0219999999999998</v>
      </c>
      <c r="J215" s="67"/>
      <c r="K215" s="61"/>
      <c r="M215" s="405"/>
      <c r="N215" s="25"/>
      <c r="O215" s="406"/>
    </row>
    <row r="216" spans="1:15" x14ac:dyDescent="0.25">
      <c r="A216" s="57" t="s">
        <v>186</v>
      </c>
      <c r="B216" s="58"/>
      <c r="C216" s="67"/>
      <c r="D216" s="67">
        <v>0.21</v>
      </c>
      <c r="E216" s="59"/>
      <c r="F216" s="59">
        <v>0.6</v>
      </c>
      <c r="G216" s="60"/>
      <c r="H216" s="59">
        <f>(C216+D216)*2</f>
        <v>0.42</v>
      </c>
      <c r="I216" s="59">
        <f>H216*F216</f>
        <v>0.252</v>
      </c>
      <c r="J216" s="67"/>
      <c r="K216" s="61"/>
      <c r="M216" s="405"/>
      <c r="N216" s="25"/>
      <c r="O216" s="406"/>
    </row>
    <row r="217" spans="1:15" x14ac:dyDescent="0.25">
      <c r="A217" s="57"/>
      <c r="B217" s="58"/>
      <c r="C217" s="67"/>
      <c r="D217" s="67"/>
      <c r="E217" s="59"/>
      <c r="F217" s="59"/>
      <c r="G217" s="60"/>
      <c r="H217" s="59"/>
      <c r="I217" s="59"/>
      <c r="J217" s="67"/>
      <c r="K217" s="61"/>
      <c r="M217" s="405"/>
      <c r="N217" s="25"/>
      <c r="O217" s="406"/>
    </row>
    <row r="218" spans="1:15" x14ac:dyDescent="0.25">
      <c r="A218" s="92" t="s">
        <v>145</v>
      </c>
      <c r="B218" s="58"/>
      <c r="C218" s="67">
        <f>1.505+0.025+1.26</f>
        <v>2.79</v>
      </c>
      <c r="D218" s="67">
        <f>2.605+0.16+2</f>
        <v>4.7650000000000006</v>
      </c>
      <c r="E218" s="59"/>
      <c r="F218" s="59">
        <v>0.6</v>
      </c>
      <c r="G218" s="60"/>
      <c r="H218" s="59">
        <f>(C218+D218)*2</f>
        <v>15.110000000000001</v>
      </c>
      <c r="I218" s="59">
        <f>H218*F218</f>
        <v>9.0660000000000007</v>
      </c>
      <c r="J218" s="67"/>
      <c r="K218" s="61"/>
      <c r="M218" s="405"/>
      <c r="N218" s="25"/>
      <c r="O218" s="406"/>
    </row>
    <row r="219" spans="1:15" x14ac:dyDescent="0.25">
      <c r="A219" s="72" t="s">
        <v>134</v>
      </c>
      <c r="B219" s="73"/>
      <c r="C219" s="155">
        <v>0.80800000000000005</v>
      </c>
      <c r="D219" s="63"/>
      <c r="E219" s="62">
        <v>0.6</v>
      </c>
      <c r="F219" s="62"/>
      <c r="G219" s="74">
        <v>1</v>
      </c>
      <c r="H219" s="63"/>
      <c r="I219" s="64">
        <f>C219*G219*E219-1</f>
        <v>-0.51519999999999999</v>
      </c>
      <c r="J219" s="63"/>
      <c r="K219" s="65"/>
      <c r="M219" s="405"/>
      <c r="N219" s="25" t="s">
        <v>41</v>
      </c>
      <c r="O219" s="404"/>
    </row>
    <row r="220" spans="1:15" x14ac:dyDescent="0.25">
      <c r="A220" s="57" t="s">
        <v>147</v>
      </c>
      <c r="B220" s="58"/>
      <c r="C220" s="67">
        <v>2.605</v>
      </c>
      <c r="D220" s="67">
        <f>1.26+0.025</f>
        <v>1.2849999999999999</v>
      </c>
      <c r="E220" s="59"/>
      <c r="F220" s="59">
        <f>1.8-0.6</f>
        <v>1.2000000000000002</v>
      </c>
      <c r="G220" s="60"/>
      <c r="H220" s="59">
        <f>D220+C220+D220</f>
        <v>5.1749999999999998</v>
      </c>
      <c r="I220" s="59">
        <f>H220*F220</f>
        <v>6.2100000000000009</v>
      </c>
      <c r="J220" s="67"/>
      <c r="K220" s="61"/>
      <c r="M220" s="405"/>
      <c r="N220" s="25"/>
      <c r="O220" s="406"/>
    </row>
    <row r="221" spans="1:15" x14ac:dyDescent="0.25">
      <c r="A221" s="131"/>
      <c r="B221" s="58"/>
      <c r="C221" s="67"/>
      <c r="D221" s="67"/>
      <c r="E221" s="59"/>
      <c r="F221" s="59"/>
      <c r="G221" s="60"/>
      <c r="H221" s="59"/>
      <c r="I221" s="59"/>
      <c r="J221" s="67"/>
      <c r="K221" s="61"/>
      <c r="M221" s="405"/>
      <c r="N221" s="25"/>
      <c r="O221" s="406"/>
    </row>
    <row r="222" spans="1:15" x14ac:dyDescent="0.25">
      <c r="A222" s="92" t="s">
        <v>322</v>
      </c>
      <c r="B222" s="58"/>
      <c r="C222" s="67">
        <f>1.77+0.99</f>
        <v>2.76</v>
      </c>
      <c r="D222" s="67">
        <v>1.27</v>
      </c>
      <c r="E222" s="59"/>
      <c r="F222" s="59">
        <v>0.6</v>
      </c>
      <c r="G222" s="60"/>
      <c r="H222" s="59">
        <f>(C222+D222)*2</f>
        <v>8.0599999999999987</v>
      </c>
      <c r="I222" s="59">
        <f>H222*F222</f>
        <v>4.8359999999999994</v>
      </c>
      <c r="J222" s="67"/>
      <c r="K222" s="61"/>
      <c r="M222" s="405"/>
      <c r="N222" s="25" t="s">
        <v>41</v>
      </c>
      <c r="O222" s="404"/>
    </row>
    <row r="223" spans="1:15" x14ac:dyDescent="0.25">
      <c r="A223" s="72" t="s">
        <v>96</v>
      </c>
      <c r="B223" s="73"/>
      <c r="C223" s="62">
        <v>0.77</v>
      </c>
      <c r="D223" s="63"/>
      <c r="E223" s="62">
        <v>0.6</v>
      </c>
      <c r="F223" s="62"/>
      <c r="G223" s="74">
        <v>1</v>
      </c>
      <c r="H223" s="63"/>
      <c r="I223" s="64">
        <f>C223*G223*E223-1</f>
        <v>-0.53800000000000003</v>
      </c>
      <c r="J223" s="63"/>
      <c r="K223" s="65"/>
      <c r="M223" s="405"/>
      <c r="N223" s="25"/>
      <c r="O223" s="404"/>
    </row>
    <row r="224" spans="1:15" x14ac:dyDescent="0.25">
      <c r="A224" s="57" t="s">
        <v>147</v>
      </c>
      <c r="B224" s="58"/>
      <c r="C224" s="67">
        <v>1.27</v>
      </c>
      <c r="D224" s="67">
        <v>0.99</v>
      </c>
      <c r="E224" s="59"/>
      <c r="F224" s="59">
        <f>1.8-0.6</f>
        <v>1.2000000000000002</v>
      </c>
      <c r="G224" s="60"/>
      <c r="H224" s="59">
        <f>D224+C224+D224</f>
        <v>3.25</v>
      </c>
      <c r="I224" s="59">
        <f>H224*F224</f>
        <v>3.9000000000000004</v>
      </c>
      <c r="J224" s="67"/>
      <c r="K224" s="61"/>
      <c r="M224" s="405"/>
      <c r="N224" s="25"/>
      <c r="O224" s="406"/>
    </row>
    <row r="225" spans="1:15" x14ac:dyDescent="0.25">
      <c r="A225" s="131"/>
      <c r="B225" s="58"/>
      <c r="C225" s="67"/>
      <c r="D225" s="67"/>
      <c r="E225" s="59"/>
      <c r="F225" s="59"/>
      <c r="G225" s="60"/>
      <c r="H225" s="59"/>
      <c r="I225" s="59"/>
      <c r="J225" s="67"/>
      <c r="K225" s="61"/>
      <c r="M225" s="405"/>
      <c r="N225" s="25"/>
      <c r="O225" s="406"/>
    </row>
    <row r="226" spans="1:15" x14ac:dyDescent="0.25">
      <c r="A226" s="92" t="s">
        <v>108</v>
      </c>
      <c r="B226" s="58"/>
      <c r="C226" s="67">
        <v>1.5</v>
      </c>
      <c r="D226" s="67">
        <v>2</v>
      </c>
      <c r="E226" s="59"/>
      <c r="F226" s="59">
        <v>0.6</v>
      </c>
      <c r="G226" s="60"/>
      <c r="H226" s="59">
        <f>(C226+D226)*2</f>
        <v>7</v>
      </c>
      <c r="I226" s="59">
        <f>H226*F226</f>
        <v>4.2</v>
      </c>
      <c r="J226" s="67"/>
      <c r="K226" s="61"/>
      <c r="M226" s="405"/>
      <c r="N226" s="25" t="s">
        <v>41</v>
      </c>
      <c r="O226" s="404"/>
    </row>
    <row r="227" spans="1:15" ht="15.75" thickBot="1" x14ac:dyDescent="0.3">
      <c r="A227" s="421" t="s">
        <v>114</v>
      </c>
      <c r="B227" s="422"/>
      <c r="C227" s="423">
        <v>0.87</v>
      </c>
      <c r="D227" s="424"/>
      <c r="E227" s="423">
        <v>0.6</v>
      </c>
      <c r="F227" s="423"/>
      <c r="G227" s="425">
        <v>1</v>
      </c>
      <c r="H227" s="424"/>
      <c r="I227" s="427">
        <f>C227*G227*E227-1</f>
        <v>-0.47799999999999998</v>
      </c>
      <c r="J227" s="424"/>
      <c r="K227" s="428"/>
      <c r="M227" s="407"/>
      <c r="N227" s="408" t="s">
        <v>41</v>
      </c>
      <c r="O227" s="409"/>
    </row>
    <row r="228" spans="1:15" ht="15.75" thickBot="1" x14ac:dyDescent="0.3"/>
    <row r="229" spans="1:15" ht="15.75" thickBot="1" x14ac:dyDescent="0.3">
      <c r="A229" s="47" t="s">
        <v>63</v>
      </c>
      <c r="B229" s="48"/>
      <c r="C229" s="49" t="s">
        <v>2</v>
      </c>
      <c r="D229" s="49" t="s">
        <v>3</v>
      </c>
      <c r="E229" s="49" t="s">
        <v>4</v>
      </c>
      <c r="F229" s="49" t="s">
        <v>64</v>
      </c>
      <c r="G229" s="50" t="s">
        <v>1</v>
      </c>
      <c r="H229" s="49" t="s">
        <v>6</v>
      </c>
      <c r="I229" s="49" t="s">
        <v>7</v>
      </c>
      <c r="J229" s="49" t="s">
        <v>8</v>
      </c>
      <c r="K229" s="51" t="s">
        <v>9</v>
      </c>
    </row>
    <row r="230" spans="1:15" x14ac:dyDescent="0.25">
      <c r="A230" s="106" t="s">
        <v>65</v>
      </c>
      <c r="B230" s="107" t="s">
        <v>35</v>
      </c>
      <c r="C230" s="87"/>
      <c r="D230" s="87"/>
      <c r="E230" s="87"/>
      <c r="F230" s="87"/>
      <c r="G230" s="88"/>
      <c r="H230" s="87"/>
      <c r="I230" s="89">
        <f>SUM(I231:I238)</f>
        <v>29.7468</v>
      </c>
      <c r="J230" s="87"/>
      <c r="K230" s="91"/>
      <c r="M230" s="400">
        <f>27.34+O232+O234</f>
        <v>29.686399999999999</v>
      </c>
      <c r="N230" s="401">
        <f>M230-I230</f>
        <v>-6.0400000000001342E-2</v>
      </c>
      <c r="O230" s="402">
        <f>N230/M230</f>
        <v>-2.0346017031368352E-3</v>
      </c>
    </row>
    <row r="231" spans="1:15" x14ac:dyDescent="0.25">
      <c r="A231" s="92" t="s">
        <v>320</v>
      </c>
      <c r="B231" s="58"/>
      <c r="C231" s="67">
        <f>1.3325+1.875+1.5675</f>
        <v>4.7750000000000004</v>
      </c>
      <c r="D231" s="67">
        <f>1.415+1.415</f>
        <v>2.83</v>
      </c>
      <c r="E231" s="59"/>
      <c r="F231" s="59"/>
      <c r="G231" s="60"/>
      <c r="H231" s="59"/>
      <c r="I231" s="59">
        <f>C231*D231</f>
        <v>13.513250000000001</v>
      </c>
      <c r="J231" s="67"/>
      <c r="K231" s="61"/>
      <c r="M231" s="403" t="s">
        <v>182</v>
      </c>
      <c r="N231" s="25"/>
      <c r="O231" s="404"/>
    </row>
    <row r="232" spans="1:15" x14ac:dyDescent="0.25">
      <c r="A232" s="92"/>
      <c r="B232" s="58"/>
      <c r="C232" s="67"/>
      <c r="D232" s="67"/>
      <c r="E232" s="59"/>
      <c r="F232" s="59"/>
      <c r="G232" s="60"/>
      <c r="H232" s="59"/>
      <c r="I232" s="59"/>
      <c r="J232" s="67"/>
      <c r="K232" s="61"/>
      <c r="M232" s="405">
        <f>0.62*0.62</f>
        <v>0.38440000000000002</v>
      </c>
      <c r="N232" s="125">
        <v>6</v>
      </c>
      <c r="O232" s="406">
        <f>M232*N232</f>
        <v>2.3064</v>
      </c>
    </row>
    <row r="233" spans="1:15" x14ac:dyDescent="0.25">
      <c r="A233" s="92" t="s">
        <v>321</v>
      </c>
      <c r="B233" s="58"/>
      <c r="C233" s="67"/>
      <c r="D233" s="67"/>
      <c r="E233" s="59"/>
      <c r="F233" s="59"/>
      <c r="G233" s="60"/>
      <c r="H233" s="59"/>
      <c r="I233" s="59"/>
      <c r="J233" s="67"/>
      <c r="K233" s="61"/>
      <c r="M233" s="403" t="s">
        <v>183</v>
      </c>
      <c r="N233" s="25"/>
      <c r="O233" s="404"/>
    </row>
    <row r="234" spans="1:15" x14ac:dyDescent="0.25">
      <c r="A234" s="92"/>
      <c r="B234" s="58"/>
      <c r="C234" s="67">
        <f>1.185+1.605</f>
        <v>2.79</v>
      </c>
      <c r="D234" s="67">
        <f>1.2775+1.3325</f>
        <v>2.6100000000000003</v>
      </c>
      <c r="E234" s="59"/>
      <c r="F234" s="59"/>
      <c r="G234" s="60"/>
      <c r="H234" s="59"/>
      <c r="I234" s="59">
        <f t="shared" ref="I234:I235" si="44">C234*D234</f>
        <v>7.2819000000000011</v>
      </c>
      <c r="J234" s="67"/>
      <c r="K234" s="61"/>
      <c r="M234" s="405">
        <f>0.2*0.2</f>
        <v>4.0000000000000008E-2</v>
      </c>
      <c r="N234" s="125">
        <v>1</v>
      </c>
      <c r="O234" s="406">
        <f>M234*N234</f>
        <v>4.0000000000000008E-2</v>
      </c>
    </row>
    <row r="235" spans="1:15" x14ac:dyDescent="0.25">
      <c r="A235" s="92"/>
      <c r="B235" s="58"/>
      <c r="C235" s="67">
        <f>0.56+0.57</f>
        <v>1.1299999999999999</v>
      </c>
      <c r="D235" s="67">
        <f>1.5675+1.875+1.3325-D234</f>
        <v>2.165</v>
      </c>
      <c r="E235" s="59"/>
      <c r="F235" s="59"/>
      <c r="G235" s="60"/>
      <c r="H235" s="59"/>
      <c r="I235" s="59">
        <f t="shared" si="44"/>
        <v>2.44645</v>
      </c>
      <c r="J235" s="67"/>
      <c r="K235" s="61"/>
      <c r="M235" s="405"/>
      <c r="N235" s="125"/>
      <c r="O235" s="406"/>
    </row>
    <row r="236" spans="1:15" x14ac:dyDescent="0.25">
      <c r="A236" s="92" t="s">
        <v>108</v>
      </c>
      <c r="B236" s="58"/>
      <c r="C236" s="67">
        <v>1.5</v>
      </c>
      <c r="D236" s="67">
        <f>1.0625+0.9375</f>
        <v>2</v>
      </c>
      <c r="E236" s="59"/>
      <c r="F236" s="59"/>
      <c r="G236" s="60"/>
      <c r="H236" s="59"/>
      <c r="I236" s="59">
        <f t="shared" ref="I236" si="45">C236*D236</f>
        <v>3</v>
      </c>
      <c r="J236" s="67"/>
      <c r="K236" s="61"/>
      <c r="M236" s="405"/>
      <c r="N236" s="125"/>
      <c r="O236" s="406"/>
    </row>
    <row r="237" spans="1:15" ht="37.5" customHeight="1" x14ac:dyDescent="0.25">
      <c r="A237" s="92"/>
      <c r="B237" s="58"/>
      <c r="C237" s="67"/>
      <c r="D237" s="67"/>
      <c r="E237" s="59"/>
      <c r="F237" s="59"/>
      <c r="G237" s="60"/>
      <c r="H237" s="59"/>
      <c r="I237" s="59"/>
      <c r="J237" s="67"/>
      <c r="K237" s="61"/>
      <c r="M237" s="405"/>
      <c r="N237" s="125"/>
      <c r="O237" s="406"/>
    </row>
    <row r="238" spans="1:15" ht="32.25" customHeight="1" thickBot="1" x14ac:dyDescent="0.3">
      <c r="A238" s="410" t="s">
        <v>322</v>
      </c>
      <c r="B238" s="79"/>
      <c r="C238" s="83">
        <f>0.635*2</f>
        <v>1.27</v>
      </c>
      <c r="D238" s="83">
        <f>1.38*2</f>
        <v>2.76</v>
      </c>
      <c r="E238" s="80"/>
      <c r="F238" s="80"/>
      <c r="G238" s="411"/>
      <c r="H238" s="80"/>
      <c r="I238" s="80">
        <f>C238*D238</f>
        <v>3.5051999999999999</v>
      </c>
      <c r="J238" s="83"/>
      <c r="K238" s="84"/>
      <c r="M238" s="407"/>
      <c r="N238" s="408" t="s">
        <v>41</v>
      </c>
      <c r="O238" s="409"/>
    </row>
    <row r="239" spans="1:15" ht="15.75" thickBot="1" x14ac:dyDescent="0.3"/>
    <row r="240" spans="1:15" ht="27.75" customHeight="1" thickBot="1" x14ac:dyDescent="0.3">
      <c r="A240" s="47" t="s">
        <v>66</v>
      </c>
      <c r="B240" s="48"/>
      <c r="C240" s="49" t="s">
        <v>2</v>
      </c>
      <c r="D240" s="49" t="s">
        <v>3</v>
      </c>
      <c r="E240" s="49" t="s">
        <v>4</v>
      </c>
      <c r="F240" s="49" t="s">
        <v>5</v>
      </c>
      <c r="G240" s="50" t="s">
        <v>1</v>
      </c>
      <c r="H240" s="49" t="s">
        <v>6</v>
      </c>
      <c r="I240" s="49" t="s">
        <v>7</v>
      </c>
      <c r="J240" s="49" t="s">
        <v>8</v>
      </c>
      <c r="K240" s="51" t="s">
        <v>9</v>
      </c>
    </row>
    <row r="241" spans="1:15" ht="24.75" customHeight="1" x14ac:dyDescent="0.25">
      <c r="A241" s="112" t="s">
        <v>67</v>
      </c>
      <c r="B241" s="98" t="s">
        <v>35</v>
      </c>
      <c r="C241" s="54"/>
      <c r="D241" s="54"/>
      <c r="E241" s="54"/>
      <c r="F241" s="54"/>
      <c r="G241" s="55"/>
      <c r="H241" s="54"/>
      <c r="I241" s="56">
        <f>SUM(I242:I276)</f>
        <v>122.59757599999998</v>
      </c>
      <c r="J241" s="66"/>
      <c r="K241" s="1"/>
      <c r="M241" s="400">
        <v>121.85</v>
      </c>
      <c r="N241" s="401">
        <f>M241-I241</f>
        <v>-0.74757599999998092</v>
      </c>
      <c r="O241" s="402">
        <f>N241/M241</f>
        <v>-6.1352154288057525E-3</v>
      </c>
    </row>
    <row r="242" spans="1:15" x14ac:dyDescent="0.25">
      <c r="A242" s="92" t="s">
        <v>322</v>
      </c>
      <c r="B242" s="68"/>
      <c r="C242" s="69"/>
      <c r="D242" s="69"/>
      <c r="E242" s="69"/>
      <c r="F242" s="69"/>
      <c r="G242" s="60"/>
      <c r="H242" s="69"/>
      <c r="I242" s="59"/>
      <c r="J242" s="67"/>
      <c r="K242" s="61"/>
      <c r="M242" s="405"/>
      <c r="N242" s="25" t="s">
        <v>41</v>
      </c>
      <c r="O242" s="404"/>
    </row>
    <row r="243" spans="1:15" x14ac:dyDescent="0.25">
      <c r="A243" s="93" t="s">
        <v>29</v>
      </c>
      <c r="B243" s="58"/>
      <c r="C243" s="59">
        <v>1.27</v>
      </c>
      <c r="D243" s="59">
        <v>2.82</v>
      </c>
      <c r="E243" s="59"/>
      <c r="F243" s="59"/>
      <c r="G243" s="60"/>
      <c r="H243" s="59"/>
      <c r="I243" s="59">
        <f>C243*D243</f>
        <v>3.5813999999999999</v>
      </c>
      <c r="J243" s="67"/>
      <c r="K243" s="61"/>
      <c r="M243" s="405"/>
      <c r="N243" s="25" t="s">
        <v>41</v>
      </c>
      <c r="O243" s="404"/>
    </row>
    <row r="244" spans="1:15" x14ac:dyDescent="0.25">
      <c r="A244" s="93" t="s">
        <v>27</v>
      </c>
      <c r="B244" s="58"/>
      <c r="C244" s="59">
        <v>1.27</v>
      </c>
      <c r="D244" s="59">
        <v>2.82</v>
      </c>
      <c r="E244" s="59"/>
      <c r="F244" s="59"/>
      <c r="G244" s="60"/>
      <c r="H244" s="59"/>
      <c r="I244" s="59">
        <f>C244*D244</f>
        <v>3.5813999999999999</v>
      </c>
      <c r="J244" s="67"/>
      <c r="K244" s="61"/>
      <c r="M244" s="405"/>
      <c r="N244" s="25" t="s">
        <v>41</v>
      </c>
      <c r="O244" s="404"/>
    </row>
    <row r="245" spans="1:15" x14ac:dyDescent="0.25">
      <c r="A245" s="93" t="s">
        <v>17</v>
      </c>
      <c r="B245" s="58"/>
      <c r="C245" s="59">
        <f>1.77+0.99</f>
        <v>2.76</v>
      </c>
      <c r="D245" s="59">
        <v>2.82</v>
      </c>
      <c r="E245" s="59"/>
      <c r="F245" s="59"/>
      <c r="G245" s="60"/>
      <c r="H245" s="59"/>
      <c r="I245" s="59">
        <f t="shared" ref="I245:I247" si="46">C245*D245</f>
        <v>7.783199999999999</v>
      </c>
      <c r="J245" s="67"/>
      <c r="K245" s="61"/>
      <c r="M245" s="405"/>
      <c r="N245" s="25" t="s">
        <v>41</v>
      </c>
      <c r="O245" s="404"/>
    </row>
    <row r="246" spans="1:15" x14ac:dyDescent="0.25">
      <c r="A246" s="72" t="s">
        <v>96</v>
      </c>
      <c r="B246" s="73"/>
      <c r="C246" s="62">
        <v>0.77</v>
      </c>
      <c r="D246" s="62">
        <v>2.14</v>
      </c>
      <c r="E246" s="63"/>
      <c r="F246" s="63"/>
      <c r="G246" s="74">
        <v>1</v>
      </c>
      <c r="H246" s="63"/>
      <c r="I246" s="64">
        <f>C246*D246*G246*-1</f>
        <v>-1.6478000000000002</v>
      </c>
      <c r="J246" s="63"/>
      <c r="K246" s="65"/>
      <c r="M246" s="405"/>
      <c r="N246" s="25" t="s">
        <v>41</v>
      </c>
      <c r="O246" s="404"/>
    </row>
    <row r="247" spans="1:15" x14ac:dyDescent="0.25">
      <c r="A247" s="93" t="s">
        <v>18</v>
      </c>
      <c r="B247" s="58"/>
      <c r="C247" s="59">
        <f>1.94+0.77+0.05</f>
        <v>2.76</v>
      </c>
      <c r="D247" s="59">
        <v>2.82</v>
      </c>
      <c r="E247" s="59"/>
      <c r="F247" s="59"/>
      <c r="G247" s="75"/>
      <c r="H247" s="59"/>
      <c r="I247" s="59">
        <f t="shared" si="46"/>
        <v>7.783199999999999</v>
      </c>
      <c r="J247" s="67"/>
      <c r="K247" s="61"/>
      <c r="M247" s="405"/>
      <c r="N247" s="25" t="s">
        <v>41</v>
      </c>
      <c r="O247" s="404"/>
    </row>
    <row r="248" spans="1:15" x14ac:dyDescent="0.25">
      <c r="A248" s="72" t="s">
        <v>177</v>
      </c>
      <c r="B248" s="73"/>
      <c r="C248" s="62">
        <v>1.9</v>
      </c>
      <c r="D248" s="62">
        <v>0.6</v>
      </c>
      <c r="E248" s="63"/>
      <c r="F248" s="63"/>
      <c r="G248" s="74">
        <v>1</v>
      </c>
      <c r="H248" s="63"/>
      <c r="I248" s="64">
        <f>C248*D248*G248*-1</f>
        <v>-1.1399999999999999</v>
      </c>
      <c r="J248" s="63"/>
      <c r="K248" s="65"/>
      <c r="M248" s="405"/>
      <c r="N248" s="25"/>
      <c r="O248" s="404"/>
    </row>
    <row r="249" spans="1:15" x14ac:dyDescent="0.25">
      <c r="A249" s="92"/>
      <c r="B249" s="68"/>
      <c r="C249" s="69"/>
      <c r="D249" s="69"/>
      <c r="E249" s="69"/>
      <c r="F249" s="69"/>
      <c r="G249" s="60"/>
      <c r="H249" s="69"/>
      <c r="I249" s="59"/>
      <c r="J249" s="67"/>
      <c r="K249" s="61"/>
      <c r="M249" s="405"/>
      <c r="N249" s="25" t="s">
        <v>41</v>
      </c>
      <c r="O249" s="404"/>
    </row>
    <row r="250" spans="1:15" x14ac:dyDescent="0.25">
      <c r="A250" s="92" t="s">
        <v>108</v>
      </c>
      <c r="B250" s="68"/>
      <c r="C250" s="69"/>
      <c r="D250" s="69"/>
      <c r="E250" s="69"/>
      <c r="F250" s="69"/>
      <c r="G250" s="60"/>
      <c r="H250" s="69"/>
      <c r="I250" s="59"/>
      <c r="J250" s="67"/>
      <c r="K250" s="61"/>
      <c r="M250" s="405"/>
      <c r="N250" s="25" t="s">
        <v>41</v>
      </c>
      <c r="O250" s="404"/>
    </row>
    <row r="251" spans="1:15" x14ac:dyDescent="0.25">
      <c r="A251" s="93" t="s">
        <v>29</v>
      </c>
      <c r="B251" s="58"/>
      <c r="C251" s="59">
        <v>1.5</v>
      </c>
      <c r="D251" s="59">
        <v>2.8</v>
      </c>
      <c r="E251" s="59"/>
      <c r="F251" s="59"/>
      <c r="G251" s="60"/>
      <c r="H251" s="59"/>
      <c r="I251" s="59">
        <f>C251*D251</f>
        <v>4.1999999999999993</v>
      </c>
      <c r="J251" s="67"/>
      <c r="K251" s="61"/>
      <c r="M251" s="405"/>
      <c r="N251" s="25" t="s">
        <v>41</v>
      </c>
      <c r="O251" s="404"/>
    </row>
    <row r="252" spans="1:15" x14ac:dyDescent="0.25">
      <c r="A252" s="93" t="s">
        <v>27</v>
      </c>
      <c r="B252" s="58"/>
      <c r="C252" s="59">
        <v>1.5</v>
      </c>
      <c r="D252" s="59">
        <v>2.8</v>
      </c>
      <c r="E252" s="59"/>
      <c r="F252" s="59"/>
      <c r="G252" s="60"/>
      <c r="H252" s="59"/>
      <c r="I252" s="59">
        <f>C252*D252</f>
        <v>4.1999999999999993</v>
      </c>
      <c r="J252" s="67"/>
      <c r="K252" s="61"/>
      <c r="M252" s="405"/>
      <c r="N252" s="25" t="s">
        <v>41</v>
      </c>
      <c r="O252" s="404"/>
    </row>
    <row r="253" spans="1:15" x14ac:dyDescent="0.25">
      <c r="A253" s="72" t="s">
        <v>114</v>
      </c>
      <c r="B253" s="73"/>
      <c r="C253" s="62">
        <v>0.87</v>
      </c>
      <c r="D253" s="62">
        <v>2.14</v>
      </c>
      <c r="E253" s="63"/>
      <c r="F253" s="63"/>
      <c r="G253" s="74">
        <v>1</v>
      </c>
      <c r="H253" s="63"/>
      <c r="I253" s="64">
        <f>C253*D253*G253*-1</f>
        <v>-1.8618000000000001</v>
      </c>
      <c r="J253" s="63"/>
      <c r="K253" s="65"/>
      <c r="M253" s="405"/>
      <c r="N253" s="25" t="s">
        <v>41</v>
      </c>
      <c r="O253" s="404"/>
    </row>
    <row r="254" spans="1:15" x14ac:dyDescent="0.25">
      <c r="A254" s="93" t="s">
        <v>17</v>
      </c>
      <c r="B254" s="58"/>
      <c r="C254" s="59">
        <v>2</v>
      </c>
      <c r="D254" s="59">
        <v>2.8</v>
      </c>
      <c r="E254" s="59"/>
      <c r="F254" s="59"/>
      <c r="G254" s="60"/>
      <c r="H254" s="59"/>
      <c r="I254" s="59">
        <f t="shared" ref="I254:I255" si="47">C254*D254</f>
        <v>5.6</v>
      </c>
      <c r="J254" s="67"/>
      <c r="K254" s="61"/>
      <c r="M254" s="405"/>
      <c r="N254" s="25" t="s">
        <v>41</v>
      </c>
      <c r="O254" s="404"/>
    </row>
    <row r="255" spans="1:15" x14ac:dyDescent="0.25">
      <c r="A255" s="93" t="s">
        <v>18</v>
      </c>
      <c r="B255" s="58"/>
      <c r="C255" s="59">
        <v>2</v>
      </c>
      <c r="D255" s="59">
        <v>2.8</v>
      </c>
      <c r="E255" s="59"/>
      <c r="F255" s="59"/>
      <c r="G255" s="75"/>
      <c r="H255" s="59"/>
      <c r="I255" s="59">
        <f t="shared" si="47"/>
        <v>5.6</v>
      </c>
      <c r="J255" s="67"/>
      <c r="K255" s="61"/>
      <c r="M255" s="405"/>
      <c r="N255" s="25"/>
      <c r="O255" s="404"/>
    </row>
    <row r="256" spans="1:15" x14ac:dyDescent="0.25">
      <c r="A256" s="93"/>
      <c r="B256" s="58"/>
      <c r="C256" s="59"/>
      <c r="D256" s="59"/>
      <c r="E256" s="59"/>
      <c r="F256" s="59"/>
      <c r="G256" s="75"/>
      <c r="H256" s="59"/>
      <c r="I256" s="59"/>
      <c r="J256" s="67"/>
      <c r="K256" s="61"/>
      <c r="M256" s="405"/>
      <c r="N256" s="25" t="s">
        <v>41</v>
      </c>
      <c r="O256" s="404"/>
    </row>
    <row r="257" spans="1:15" x14ac:dyDescent="0.25">
      <c r="A257" s="92" t="s">
        <v>324</v>
      </c>
      <c r="B257" s="68"/>
      <c r="C257" s="69"/>
      <c r="D257" s="69"/>
      <c r="E257" s="69"/>
      <c r="F257" s="69"/>
      <c r="G257" s="60"/>
      <c r="H257" s="69"/>
      <c r="I257" s="59"/>
      <c r="J257" s="67"/>
      <c r="K257" s="61"/>
      <c r="M257" s="405"/>
      <c r="N257" s="25" t="s">
        <v>41</v>
      </c>
      <c r="O257" s="404"/>
    </row>
    <row r="258" spans="1:15" x14ac:dyDescent="0.25">
      <c r="A258" s="93" t="s">
        <v>29</v>
      </c>
      <c r="B258" s="58"/>
      <c r="C258" s="59">
        <f>1.26+0.025+1.545</f>
        <v>2.83</v>
      </c>
      <c r="D258" s="59">
        <v>2.82</v>
      </c>
      <c r="E258" s="59"/>
      <c r="F258" s="59"/>
      <c r="G258" s="60"/>
      <c r="H258" s="59"/>
      <c r="I258" s="59">
        <f>C258*D258</f>
        <v>7.9805999999999999</v>
      </c>
      <c r="J258" s="67"/>
      <c r="K258" s="61"/>
      <c r="M258" s="405"/>
      <c r="N258" s="25" t="s">
        <v>41</v>
      </c>
      <c r="O258" s="404"/>
    </row>
    <row r="259" spans="1:15" x14ac:dyDescent="0.25">
      <c r="A259" s="72" t="s">
        <v>45</v>
      </c>
      <c r="B259" s="73"/>
      <c r="C259" s="62">
        <f>C258</f>
        <v>2.83</v>
      </c>
      <c r="D259" s="62">
        <v>0.6</v>
      </c>
      <c r="E259" s="63"/>
      <c r="F259" s="63"/>
      <c r="G259" s="74">
        <v>1</v>
      </c>
      <c r="H259" s="63"/>
      <c r="I259" s="64">
        <f>C259*D259*G259*-1</f>
        <v>-1.698</v>
      </c>
      <c r="J259" s="63"/>
      <c r="K259" s="65"/>
      <c r="M259" s="405"/>
      <c r="N259" s="25"/>
      <c r="O259" s="404"/>
    </row>
    <row r="260" spans="1:15" x14ac:dyDescent="0.25">
      <c r="A260" s="93" t="s">
        <v>27</v>
      </c>
      <c r="B260" s="58"/>
      <c r="C260" s="59">
        <f>1.415*2</f>
        <v>2.83</v>
      </c>
      <c r="D260" s="59">
        <v>2.82</v>
      </c>
      <c r="E260" s="59"/>
      <c r="F260" s="59"/>
      <c r="G260" s="60"/>
      <c r="H260" s="59"/>
      <c r="I260" s="59">
        <f>C260*D260</f>
        <v>7.9805999999999999</v>
      </c>
      <c r="J260" s="67"/>
      <c r="K260" s="61"/>
      <c r="M260" s="405"/>
      <c r="N260" s="25" t="s">
        <v>41</v>
      </c>
      <c r="O260" s="404"/>
    </row>
    <row r="261" spans="1:15" x14ac:dyDescent="0.25">
      <c r="A261" s="72" t="s">
        <v>60</v>
      </c>
      <c r="B261" s="73"/>
      <c r="C261" s="62">
        <v>0.87</v>
      </c>
      <c r="D261" s="62">
        <v>2.14</v>
      </c>
      <c r="E261" s="63"/>
      <c r="F261" s="63"/>
      <c r="G261" s="74">
        <v>1</v>
      </c>
      <c r="H261" s="63"/>
      <c r="I261" s="64">
        <f>C261*D261*G261*-1</f>
        <v>-1.8618000000000001</v>
      </c>
      <c r="J261" s="63"/>
      <c r="K261" s="65"/>
      <c r="M261" s="405"/>
      <c r="N261" s="25" t="s">
        <v>41</v>
      </c>
      <c r="O261" s="404"/>
    </row>
    <row r="262" spans="1:15" x14ac:dyDescent="0.25">
      <c r="A262" s="93" t="s">
        <v>17</v>
      </c>
      <c r="B262" s="58"/>
      <c r="C262" s="59">
        <f>2+0.16+0.8533+0.025+0.8533+0.025+0.8533</f>
        <v>4.7698999999999998</v>
      </c>
      <c r="D262" s="59">
        <v>2.82</v>
      </c>
      <c r="E262" s="59"/>
      <c r="F262" s="59"/>
      <c r="G262" s="60"/>
      <c r="H262" s="59"/>
      <c r="I262" s="59">
        <f t="shared" ref="I262:I264" si="48">C262*D262</f>
        <v>13.451117999999999</v>
      </c>
      <c r="J262" s="67"/>
      <c r="K262" s="61"/>
      <c r="M262" s="405"/>
      <c r="N262" s="25" t="s">
        <v>41</v>
      </c>
      <c r="O262" s="404"/>
    </row>
    <row r="263" spans="1:15" x14ac:dyDescent="0.25">
      <c r="A263" s="72" t="s">
        <v>134</v>
      </c>
      <c r="B263" s="73"/>
      <c r="C263" s="62">
        <v>0.80600000000000005</v>
      </c>
      <c r="D263" s="62">
        <v>2.11</v>
      </c>
      <c r="E263" s="63"/>
      <c r="F263" s="63"/>
      <c r="G263" s="74">
        <v>1</v>
      </c>
      <c r="H263" s="63"/>
      <c r="I263" s="64">
        <f>C263*D263*G263*-1</f>
        <v>-1.7006600000000001</v>
      </c>
      <c r="J263" s="63"/>
      <c r="K263" s="65"/>
      <c r="M263" s="405"/>
      <c r="N263" s="25" t="s">
        <v>41</v>
      </c>
      <c r="O263" s="404"/>
    </row>
    <row r="264" spans="1:15" x14ac:dyDescent="0.25">
      <c r="A264" s="93" t="s">
        <v>18</v>
      </c>
      <c r="B264" s="58"/>
      <c r="C264" s="59">
        <f>2+0.16+0.8533+0.025+0.8533+0.025+0.8533</f>
        <v>4.7698999999999998</v>
      </c>
      <c r="D264" s="59">
        <v>2.82</v>
      </c>
      <c r="E264" s="59"/>
      <c r="F264" s="59"/>
      <c r="G264" s="75"/>
      <c r="H264" s="59"/>
      <c r="I264" s="59">
        <f t="shared" si="48"/>
        <v>13.451117999999999</v>
      </c>
      <c r="J264" s="67"/>
      <c r="K264" s="61"/>
      <c r="M264" s="405"/>
      <c r="N264" s="25" t="s">
        <v>41</v>
      </c>
      <c r="O264" s="404"/>
    </row>
    <row r="265" spans="1:15" x14ac:dyDescent="0.25">
      <c r="A265" s="72" t="s">
        <v>133</v>
      </c>
      <c r="B265" s="73"/>
      <c r="C265" s="62">
        <v>0.17</v>
      </c>
      <c r="D265" s="62">
        <v>2.11</v>
      </c>
      <c r="E265" s="63"/>
      <c r="F265" s="63"/>
      <c r="G265" s="74">
        <v>1</v>
      </c>
      <c r="H265" s="63"/>
      <c r="I265" s="64">
        <f>C265*D265*G265*-1</f>
        <v>-0.35870000000000002</v>
      </c>
      <c r="J265" s="63"/>
      <c r="K265" s="65"/>
      <c r="M265" s="405"/>
      <c r="N265" s="25" t="s">
        <v>41</v>
      </c>
      <c r="O265" s="404"/>
    </row>
    <row r="266" spans="1:15" x14ac:dyDescent="0.25">
      <c r="A266" s="57" t="s">
        <v>133</v>
      </c>
      <c r="B266" s="68"/>
      <c r="C266" s="69">
        <v>1.6</v>
      </c>
      <c r="D266" s="69">
        <v>0.17</v>
      </c>
      <c r="E266" s="144"/>
      <c r="F266" s="69">
        <v>2.11</v>
      </c>
      <c r="G266" s="60"/>
      <c r="H266" s="69">
        <f>C266+D266+C266</f>
        <v>3.37</v>
      </c>
      <c r="I266" s="59">
        <f>H266*F266</f>
        <v>7.1106999999999996</v>
      </c>
      <c r="J266" s="67"/>
      <c r="K266" s="61" t="s">
        <v>141</v>
      </c>
      <c r="M266" s="405"/>
      <c r="N266" s="25"/>
      <c r="O266" s="404"/>
    </row>
    <row r="267" spans="1:15" x14ac:dyDescent="0.25">
      <c r="A267" s="57" t="s">
        <v>133</v>
      </c>
      <c r="B267" s="68"/>
      <c r="C267" s="69">
        <v>1.6</v>
      </c>
      <c r="D267" s="69">
        <v>0.17</v>
      </c>
      <c r="E267" s="69"/>
      <c r="F267" s="69"/>
      <c r="G267" s="60"/>
      <c r="H267" s="69"/>
      <c r="I267" s="59">
        <f>C267*D267</f>
        <v>0.27200000000000002</v>
      </c>
      <c r="J267" s="67"/>
      <c r="K267" s="61" t="s">
        <v>142</v>
      </c>
      <c r="M267" s="405"/>
      <c r="N267" s="25"/>
      <c r="O267" s="404"/>
    </row>
    <row r="268" spans="1:15" x14ac:dyDescent="0.25">
      <c r="A268" s="57" t="s">
        <v>134</v>
      </c>
      <c r="B268" s="68"/>
      <c r="C268" s="69">
        <v>0.80600000000000005</v>
      </c>
      <c r="D268" s="69">
        <v>2.11</v>
      </c>
      <c r="E268" s="69">
        <v>0.21</v>
      </c>
      <c r="F268" s="69"/>
      <c r="G268" s="60"/>
      <c r="H268" s="69">
        <f>D268+D268+C268</f>
        <v>5.0259999999999998</v>
      </c>
      <c r="I268" s="59">
        <f>H268*E268</f>
        <v>1.0554599999999998</v>
      </c>
      <c r="J268" s="67"/>
      <c r="K268" s="61" t="s">
        <v>143</v>
      </c>
      <c r="M268" s="405"/>
      <c r="N268" s="25"/>
      <c r="O268" s="404"/>
    </row>
    <row r="269" spans="1:15" x14ac:dyDescent="0.25">
      <c r="A269" s="57"/>
      <c r="B269" s="68"/>
      <c r="C269" s="69"/>
      <c r="D269" s="69"/>
      <c r="E269" s="69"/>
      <c r="F269" s="69"/>
      <c r="G269" s="60"/>
      <c r="H269" s="69"/>
      <c r="I269" s="59"/>
      <c r="J269" s="67"/>
      <c r="K269" s="61"/>
      <c r="M269" s="405"/>
      <c r="N269" s="25"/>
      <c r="O269" s="404"/>
    </row>
    <row r="270" spans="1:15" x14ac:dyDescent="0.25">
      <c r="A270" s="92" t="s">
        <v>333</v>
      </c>
      <c r="B270" s="68"/>
      <c r="C270" s="69"/>
      <c r="D270" s="69"/>
      <c r="E270" s="69"/>
      <c r="F270" s="69"/>
      <c r="G270" s="60"/>
      <c r="H270" s="69"/>
      <c r="I270" s="59"/>
      <c r="J270" s="67"/>
      <c r="K270" s="61"/>
      <c r="M270" s="405"/>
      <c r="N270" s="25"/>
      <c r="O270" s="404"/>
    </row>
    <row r="271" spans="1:15" x14ac:dyDescent="0.25">
      <c r="A271" s="93" t="s">
        <v>29</v>
      </c>
      <c r="B271" s="58"/>
      <c r="C271" s="59">
        <f>1.505+0.025+1.26</f>
        <v>2.79</v>
      </c>
      <c r="D271" s="59">
        <v>2.82</v>
      </c>
      <c r="E271" s="59"/>
      <c r="F271" s="59"/>
      <c r="G271" s="60"/>
      <c r="H271" s="59"/>
      <c r="I271" s="59">
        <f>C271*D271</f>
        <v>7.8677999999999999</v>
      </c>
      <c r="J271" s="67"/>
      <c r="K271" s="61"/>
      <c r="M271" s="405"/>
      <c r="N271" s="25"/>
      <c r="O271" s="404"/>
    </row>
    <row r="272" spans="1:15" x14ac:dyDescent="0.25">
      <c r="A272" s="72" t="s">
        <v>45</v>
      </c>
      <c r="B272" s="73"/>
      <c r="C272" s="62">
        <f>C271</f>
        <v>2.79</v>
      </c>
      <c r="D272" s="62">
        <v>0.6</v>
      </c>
      <c r="E272" s="63"/>
      <c r="F272" s="63"/>
      <c r="G272" s="74">
        <v>1</v>
      </c>
      <c r="H272" s="63"/>
      <c r="I272" s="64">
        <f>C272*D272*G272*-1</f>
        <v>-1.6739999999999999</v>
      </c>
      <c r="J272" s="63"/>
      <c r="K272" s="65"/>
      <c r="M272" s="405"/>
      <c r="N272" s="25"/>
      <c r="O272" s="404"/>
    </row>
    <row r="273" spans="1:15" x14ac:dyDescent="0.25">
      <c r="A273" s="93" t="s">
        <v>27</v>
      </c>
      <c r="B273" s="58"/>
      <c r="C273" s="59">
        <f>1.505+0.025+1.26</f>
        <v>2.79</v>
      </c>
      <c r="D273" s="59">
        <v>2.82</v>
      </c>
      <c r="E273" s="59"/>
      <c r="F273" s="59"/>
      <c r="G273" s="60"/>
      <c r="H273" s="59"/>
      <c r="I273" s="59">
        <f>C273*D273</f>
        <v>7.8677999999999999</v>
      </c>
      <c r="J273" s="67"/>
      <c r="K273" s="61"/>
      <c r="M273" s="405"/>
      <c r="N273" s="25"/>
      <c r="O273" s="404"/>
    </row>
    <row r="274" spans="1:15" x14ac:dyDescent="0.25">
      <c r="A274" s="93" t="s">
        <v>18</v>
      </c>
      <c r="B274" s="58"/>
      <c r="C274" s="59">
        <f>2+0.16+2.605</f>
        <v>4.7650000000000006</v>
      </c>
      <c r="D274" s="59">
        <v>2.82</v>
      </c>
      <c r="E274" s="59"/>
      <c r="F274" s="59"/>
      <c r="G274" s="60"/>
      <c r="H274" s="59"/>
      <c r="I274" s="59">
        <f t="shared" ref="I274" si="49">C274*D274</f>
        <v>13.4373</v>
      </c>
      <c r="J274" s="67"/>
      <c r="K274" s="61"/>
      <c r="M274" s="405"/>
      <c r="N274" s="25"/>
      <c r="O274" s="404"/>
    </row>
    <row r="275" spans="1:15" x14ac:dyDescent="0.25">
      <c r="A275" s="72" t="s">
        <v>134</v>
      </c>
      <c r="B275" s="73"/>
      <c r="C275" s="62">
        <v>0.80600000000000005</v>
      </c>
      <c r="D275" s="62">
        <v>2.11</v>
      </c>
      <c r="E275" s="63"/>
      <c r="F275" s="63"/>
      <c r="G275" s="74">
        <v>1</v>
      </c>
      <c r="H275" s="63"/>
      <c r="I275" s="64">
        <f>C275*D275*G275*-1</f>
        <v>-1.7006600000000001</v>
      </c>
      <c r="J275" s="63"/>
      <c r="K275" s="65"/>
      <c r="M275" s="405"/>
      <c r="N275" s="25"/>
      <c r="O275" s="404"/>
    </row>
    <row r="276" spans="1:15" x14ac:dyDescent="0.25">
      <c r="A276" s="93" t="s">
        <v>17</v>
      </c>
      <c r="B276" s="58"/>
      <c r="C276" s="59">
        <f>2+0.16+2.605</f>
        <v>4.7650000000000006</v>
      </c>
      <c r="D276" s="59">
        <v>2.82</v>
      </c>
      <c r="E276" s="59"/>
      <c r="F276" s="59"/>
      <c r="G276" s="75"/>
      <c r="H276" s="59"/>
      <c r="I276" s="59">
        <f t="shared" ref="I276" si="50">C276*D276</f>
        <v>13.4373</v>
      </c>
      <c r="J276" s="67"/>
      <c r="K276" s="61"/>
      <c r="M276" s="405"/>
      <c r="N276" s="25"/>
      <c r="O276" s="404"/>
    </row>
    <row r="277" spans="1:15" x14ac:dyDescent="0.25">
      <c r="A277" s="112" t="s">
        <v>98</v>
      </c>
      <c r="B277" s="98" t="s">
        <v>31</v>
      </c>
      <c r="C277" s="54"/>
      <c r="D277" s="54"/>
      <c r="E277" s="54"/>
      <c r="F277" s="54"/>
      <c r="G277" s="55"/>
      <c r="H277" s="56">
        <f>SUM(H278:H289)</f>
        <v>52.449999999999996</v>
      </c>
      <c r="I277" s="66"/>
      <c r="J277" s="66"/>
      <c r="K277" s="1"/>
      <c r="M277" s="419">
        <f>SUM(O278:O288)</f>
        <v>52.441000000000003</v>
      </c>
      <c r="N277" s="13">
        <f>M277-H277</f>
        <v>-8.9999999999932356E-3</v>
      </c>
      <c r="O277" s="415">
        <f>N277/M277</f>
        <v>-1.7162144123859642E-4</v>
      </c>
    </row>
    <row r="278" spans="1:15" x14ac:dyDescent="0.25">
      <c r="A278" s="92" t="s">
        <v>324</v>
      </c>
      <c r="B278" s="68"/>
      <c r="C278" s="69"/>
      <c r="D278" s="69"/>
      <c r="E278" s="69"/>
      <c r="F278" s="69"/>
      <c r="G278" s="60"/>
      <c r="H278" s="69"/>
      <c r="I278" s="59"/>
      <c r="J278" s="67"/>
      <c r="K278" s="61"/>
      <c r="M278" s="418">
        <v>1</v>
      </c>
      <c r="N278" s="3">
        <v>0.7</v>
      </c>
      <c r="O278" s="406">
        <f t="shared" ref="O278:O285" si="51">M278*N278</f>
        <v>0.7</v>
      </c>
    </row>
    <row r="279" spans="1:15" x14ac:dyDescent="0.25">
      <c r="A279" s="93" t="s">
        <v>133</v>
      </c>
      <c r="B279" s="58"/>
      <c r="C279" s="59">
        <v>2.1</v>
      </c>
      <c r="D279" s="59"/>
      <c r="E279" s="59"/>
      <c r="F279" s="59"/>
      <c r="G279" s="75">
        <v>2</v>
      </c>
      <c r="H279" s="159">
        <f>G279*C279</f>
        <v>4.2</v>
      </c>
      <c r="I279" s="59"/>
      <c r="J279" s="67"/>
      <c r="K279" s="61"/>
      <c r="M279" s="418">
        <v>2</v>
      </c>
      <c r="N279" s="3">
        <v>0.84499999999999997</v>
      </c>
      <c r="O279" s="406">
        <f t="shared" si="51"/>
        <v>1.69</v>
      </c>
    </row>
    <row r="280" spans="1:15" x14ac:dyDescent="0.25">
      <c r="A280" s="93" t="s">
        <v>179</v>
      </c>
      <c r="B280" s="58"/>
      <c r="C280" s="59">
        <v>2.72</v>
      </c>
      <c r="D280" s="59"/>
      <c r="E280" s="59"/>
      <c r="F280" s="59"/>
      <c r="G280" s="75">
        <v>2</v>
      </c>
      <c r="H280" s="159">
        <f>G280*C280</f>
        <v>5.44</v>
      </c>
      <c r="I280" s="59"/>
      <c r="J280" s="67"/>
      <c r="K280" s="61" t="s">
        <v>180</v>
      </c>
      <c r="M280" s="418">
        <v>2</v>
      </c>
      <c r="N280" s="3">
        <v>0.9</v>
      </c>
      <c r="O280" s="406">
        <f t="shared" si="51"/>
        <v>1.8</v>
      </c>
    </row>
    <row r="281" spans="1:15" x14ac:dyDescent="0.25">
      <c r="A281" s="93" t="s">
        <v>134</v>
      </c>
      <c r="B281" s="58"/>
      <c r="C281" s="59">
        <v>0.84499999999999997</v>
      </c>
      <c r="D281" s="59"/>
      <c r="E281" s="59"/>
      <c r="F281" s="59"/>
      <c r="G281" s="75">
        <v>2</v>
      </c>
      <c r="H281" s="159">
        <f>G281*C281</f>
        <v>1.69</v>
      </c>
      <c r="I281" s="59"/>
      <c r="J281" s="67"/>
      <c r="K281" s="61" t="s">
        <v>178</v>
      </c>
      <c r="M281" s="418">
        <v>4</v>
      </c>
      <c r="N281" s="3">
        <v>1.65</v>
      </c>
      <c r="O281" s="406">
        <f t="shared" si="51"/>
        <v>6.6</v>
      </c>
    </row>
    <row r="282" spans="1:15" x14ac:dyDescent="0.25">
      <c r="A282" s="93" t="s">
        <v>134</v>
      </c>
      <c r="B282" s="58"/>
      <c r="C282" s="59">
        <v>2.1</v>
      </c>
      <c r="D282" s="59"/>
      <c r="E282" s="59"/>
      <c r="F282" s="59"/>
      <c r="G282" s="75">
        <v>4</v>
      </c>
      <c r="H282" s="159">
        <f>G282*C282</f>
        <v>8.4</v>
      </c>
      <c r="I282" s="59"/>
      <c r="J282" s="67"/>
      <c r="K282" s="61" t="s">
        <v>135</v>
      </c>
      <c r="M282" s="418">
        <v>7</v>
      </c>
      <c r="N282" s="3">
        <v>1.8</v>
      </c>
      <c r="O282" s="406">
        <f t="shared" si="51"/>
        <v>12.6</v>
      </c>
    </row>
    <row r="283" spans="1:15" x14ac:dyDescent="0.25">
      <c r="A283" s="93" t="s">
        <v>136</v>
      </c>
      <c r="B283" s="58"/>
      <c r="C283" s="59">
        <v>1.82</v>
      </c>
      <c r="D283" s="59"/>
      <c r="E283" s="59"/>
      <c r="F283" s="59"/>
      <c r="G283" s="75">
        <v>6</v>
      </c>
      <c r="H283" s="159">
        <f t="shared" ref="H283" si="52">G283*C283</f>
        <v>10.92</v>
      </c>
      <c r="I283" s="59"/>
      <c r="J283" s="67"/>
      <c r="K283" s="61" t="s">
        <v>181</v>
      </c>
      <c r="M283" s="418">
        <v>6</v>
      </c>
      <c r="N283" s="3">
        <v>1.82</v>
      </c>
      <c r="O283" s="406">
        <f t="shared" si="51"/>
        <v>10.92</v>
      </c>
    </row>
    <row r="284" spans="1:15" x14ac:dyDescent="0.25">
      <c r="A284" s="93" t="s">
        <v>136</v>
      </c>
      <c r="B284" s="58"/>
      <c r="C284" s="59">
        <v>1.8</v>
      </c>
      <c r="D284" s="59"/>
      <c r="E284" s="59"/>
      <c r="F284" s="59"/>
      <c r="G284" s="75">
        <v>2</v>
      </c>
      <c r="H284" s="159">
        <f t="shared" ref="H284" si="53">G284*C284</f>
        <v>3.6</v>
      </c>
      <c r="I284" s="59"/>
      <c r="J284" s="67"/>
      <c r="K284" s="61" t="s">
        <v>332</v>
      </c>
      <c r="M284" s="418">
        <v>1</v>
      </c>
      <c r="N284" s="3">
        <v>2.1</v>
      </c>
      <c r="O284" s="406">
        <f t="shared" si="51"/>
        <v>2.1</v>
      </c>
    </row>
    <row r="285" spans="1:15" x14ac:dyDescent="0.25">
      <c r="A285" s="93" t="s">
        <v>137</v>
      </c>
      <c r="B285" s="58"/>
      <c r="C285" s="59">
        <v>0.9</v>
      </c>
      <c r="D285" s="59"/>
      <c r="E285" s="59"/>
      <c r="F285" s="59"/>
      <c r="G285" s="75">
        <v>2</v>
      </c>
      <c r="H285" s="159">
        <f t="shared" ref="H285" si="54">G285*C285</f>
        <v>1.8</v>
      </c>
      <c r="I285" s="59"/>
      <c r="J285" s="67"/>
      <c r="K285" s="61"/>
      <c r="M285" s="418">
        <v>1</v>
      </c>
      <c r="N285" s="3">
        <v>2.1150000000000002</v>
      </c>
      <c r="O285" s="406">
        <f t="shared" si="51"/>
        <v>2.1150000000000002</v>
      </c>
    </row>
    <row r="286" spans="1:15" x14ac:dyDescent="0.25">
      <c r="A286" s="93" t="s">
        <v>138</v>
      </c>
      <c r="B286" s="58"/>
      <c r="C286" s="59">
        <v>1.8</v>
      </c>
      <c r="D286" s="59"/>
      <c r="E286" s="59"/>
      <c r="F286" s="59"/>
      <c r="G286" s="75">
        <v>1</v>
      </c>
      <c r="H286" s="159">
        <f t="shared" ref="H286" si="55">G286*C286</f>
        <v>1.8</v>
      </c>
      <c r="I286" s="59"/>
      <c r="J286" s="67"/>
      <c r="K286" s="61"/>
      <c r="M286" s="418">
        <v>4</v>
      </c>
      <c r="N286" s="3">
        <v>2.1190000000000002</v>
      </c>
      <c r="O286" s="406">
        <f t="shared" ref="O286:O287" si="56">M286*N286</f>
        <v>8.4760000000000009</v>
      </c>
    </row>
    <row r="287" spans="1:15" x14ac:dyDescent="0.25">
      <c r="A287" s="93" t="s">
        <v>138</v>
      </c>
      <c r="B287" s="58"/>
      <c r="C287" s="59">
        <v>0.7</v>
      </c>
      <c r="D287" s="59"/>
      <c r="E287" s="59"/>
      <c r="F287" s="59"/>
      <c r="G287" s="75">
        <v>1</v>
      </c>
      <c r="H287" s="159">
        <v>0.8</v>
      </c>
      <c r="I287" s="59"/>
      <c r="J287" s="67"/>
      <c r="K287" s="61"/>
      <c r="M287" s="418">
        <v>2</v>
      </c>
      <c r="N287" s="3">
        <v>2.72</v>
      </c>
      <c r="O287" s="406">
        <f t="shared" si="56"/>
        <v>5.44</v>
      </c>
    </row>
    <row r="288" spans="1:15" x14ac:dyDescent="0.25">
      <c r="A288" s="93" t="s">
        <v>139</v>
      </c>
      <c r="B288" s="58"/>
      <c r="C288" s="59">
        <v>1.8</v>
      </c>
      <c r="D288" s="59"/>
      <c r="E288" s="59"/>
      <c r="F288" s="59"/>
      <c r="G288" s="75">
        <v>4</v>
      </c>
      <c r="H288" s="159">
        <f t="shared" ref="H288:H289" si="57">G288*C288</f>
        <v>7.2</v>
      </c>
      <c r="I288" s="59"/>
      <c r="J288" s="67"/>
      <c r="K288" s="61"/>
      <c r="M288" s="418"/>
      <c r="N288" s="3"/>
      <c r="O288" s="406"/>
    </row>
    <row r="289" spans="1:15" x14ac:dyDescent="0.25">
      <c r="A289" s="93" t="s">
        <v>139</v>
      </c>
      <c r="B289" s="58"/>
      <c r="C289" s="59">
        <v>1.65</v>
      </c>
      <c r="D289" s="59"/>
      <c r="E289" s="59"/>
      <c r="F289" s="59"/>
      <c r="G289" s="75">
        <v>4</v>
      </c>
      <c r="H289" s="159">
        <f t="shared" si="57"/>
        <v>6.6</v>
      </c>
      <c r="I289" s="59"/>
      <c r="J289" s="67"/>
      <c r="K289" s="61"/>
      <c r="M289" s="418"/>
      <c r="N289" s="25" t="s">
        <v>41</v>
      </c>
      <c r="O289" s="404"/>
    </row>
    <row r="290" spans="1:15" ht="25.5" x14ac:dyDescent="0.25">
      <c r="A290" s="97" t="s">
        <v>68</v>
      </c>
      <c r="B290" s="98" t="s">
        <v>35</v>
      </c>
      <c r="C290" s="54"/>
      <c r="D290" s="54"/>
      <c r="E290" s="54"/>
      <c r="F290" s="54"/>
      <c r="G290" s="55"/>
      <c r="H290" s="54"/>
      <c r="I290" s="56">
        <f>SUM(I291:I295)</f>
        <v>19.648800000000005</v>
      </c>
      <c r="J290" s="66"/>
      <c r="K290" s="1" t="s">
        <v>97</v>
      </c>
      <c r="M290" s="419">
        <v>19.760000000000002</v>
      </c>
      <c r="N290" s="14">
        <f>M290-I290</f>
        <v>0.11119999999999663</v>
      </c>
      <c r="O290" s="415">
        <f>N290/M290</f>
        <v>5.6275303643722992E-3</v>
      </c>
    </row>
    <row r="291" spans="1:15" x14ac:dyDescent="0.25">
      <c r="A291" s="57" t="s">
        <v>131</v>
      </c>
      <c r="B291" s="58"/>
      <c r="C291" s="67">
        <f>0.145+2.78+0.145</f>
        <v>3.07</v>
      </c>
      <c r="D291" s="59"/>
      <c r="E291" s="59"/>
      <c r="F291" s="59">
        <f>3-0.07</f>
        <v>2.93</v>
      </c>
      <c r="G291" s="60"/>
      <c r="H291" s="59"/>
      <c r="I291" s="59">
        <f>C291*F291</f>
        <v>8.9951000000000008</v>
      </c>
      <c r="J291" s="67"/>
      <c r="K291" s="61"/>
      <c r="M291" s="405"/>
      <c r="N291" s="25" t="s">
        <v>41</v>
      </c>
      <c r="O291" s="404"/>
    </row>
    <row r="292" spans="1:15" x14ac:dyDescent="0.25">
      <c r="A292" s="72" t="s">
        <v>96</v>
      </c>
      <c r="B292" s="73"/>
      <c r="C292" s="62">
        <v>0.77</v>
      </c>
      <c r="D292" s="62">
        <v>2.14</v>
      </c>
      <c r="E292" s="63"/>
      <c r="F292" s="63"/>
      <c r="G292" s="74">
        <v>1</v>
      </c>
      <c r="H292" s="63"/>
      <c r="I292" s="64">
        <f>C292*D292*G292*-1</f>
        <v>-1.6478000000000002</v>
      </c>
      <c r="J292" s="63"/>
      <c r="K292" s="65"/>
      <c r="M292" s="405"/>
      <c r="N292" s="25" t="s">
        <v>41</v>
      </c>
      <c r="O292" s="404"/>
    </row>
    <row r="293" spans="1:15" x14ac:dyDescent="0.25">
      <c r="A293" s="57" t="s">
        <v>132</v>
      </c>
      <c r="B293" s="58"/>
      <c r="C293" s="67">
        <v>5.87</v>
      </c>
      <c r="D293" s="59"/>
      <c r="E293" s="59"/>
      <c r="F293" s="59">
        <f>2.8-0.07</f>
        <v>2.73</v>
      </c>
      <c r="G293" s="60"/>
      <c r="H293" s="59"/>
      <c r="I293" s="59">
        <f>C293*F293</f>
        <v>16.025100000000002</v>
      </c>
      <c r="J293" s="67"/>
      <c r="K293" s="61"/>
      <c r="M293" s="405"/>
      <c r="N293" s="25" t="s">
        <v>41</v>
      </c>
      <c r="O293" s="404"/>
    </row>
    <row r="294" spans="1:15" x14ac:dyDescent="0.25">
      <c r="A294" s="72" t="s">
        <v>60</v>
      </c>
      <c r="B294" s="73"/>
      <c r="C294" s="62">
        <v>0.87</v>
      </c>
      <c r="D294" s="62">
        <v>2.14</v>
      </c>
      <c r="E294" s="63"/>
      <c r="F294" s="63"/>
      <c r="G294" s="74">
        <v>1</v>
      </c>
      <c r="H294" s="63"/>
      <c r="I294" s="64">
        <f>C294*D294*G294*-1</f>
        <v>-1.8618000000000001</v>
      </c>
      <c r="J294" s="63"/>
      <c r="K294" s="65"/>
      <c r="M294" s="405"/>
      <c r="N294" s="25" t="s">
        <v>41</v>
      </c>
      <c r="O294" s="404"/>
    </row>
    <row r="295" spans="1:15" ht="15.75" thickBot="1" x14ac:dyDescent="0.3">
      <c r="A295" s="421" t="s">
        <v>114</v>
      </c>
      <c r="B295" s="422"/>
      <c r="C295" s="423">
        <v>0.87</v>
      </c>
      <c r="D295" s="423">
        <v>2.14</v>
      </c>
      <c r="E295" s="424"/>
      <c r="F295" s="424"/>
      <c r="G295" s="425">
        <v>1</v>
      </c>
      <c r="H295" s="424"/>
      <c r="I295" s="427">
        <f>C295*D295*G295*-1</f>
        <v>-1.8618000000000001</v>
      </c>
      <c r="J295" s="424"/>
      <c r="K295" s="428"/>
      <c r="M295" s="407"/>
      <c r="N295" s="408"/>
      <c r="O295" s="409"/>
    </row>
    <row r="296" spans="1:15" ht="15.75" thickBot="1" x14ac:dyDescent="0.3"/>
    <row r="297" spans="1:15" ht="15.75" thickBot="1" x14ac:dyDescent="0.3">
      <c r="A297" s="47" t="s">
        <v>69</v>
      </c>
      <c r="B297" s="48"/>
      <c r="C297" s="49" t="s">
        <v>2</v>
      </c>
      <c r="D297" s="49" t="s">
        <v>3</v>
      </c>
      <c r="E297" s="49" t="s">
        <v>4</v>
      </c>
      <c r="F297" s="49" t="s">
        <v>5</v>
      </c>
      <c r="G297" s="50" t="s">
        <v>1</v>
      </c>
      <c r="H297" s="49" t="s">
        <v>6</v>
      </c>
      <c r="I297" s="49" t="s">
        <v>7</v>
      </c>
      <c r="J297" s="49" t="s">
        <v>8</v>
      </c>
      <c r="K297" s="51" t="s">
        <v>9</v>
      </c>
    </row>
    <row r="298" spans="1:15" ht="25.5" x14ac:dyDescent="0.25">
      <c r="A298" s="97" t="s">
        <v>189</v>
      </c>
      <c r="B298" s="98" t="s">
        <v>35</v>
      </c>
      <c r="C298" s="54"/>
      <c r="D298" s="54"/>
      <c r="E298" s="54"/>
      <c r="F298" s="54"/>
      <c r="G298" s="55"/>
      <c r="H298" s="54">
        <f>SUM(H299:H312)</f>
        <v>6.3899999999999988</v>
      </c>
      <c r="I298" s="56">
        <f>SUM(I299:I312)</f>
        <v>30.259180000000004</v>
      </c>
      <c r="J298" s="54"/>
      <c r="K298" s="1"/>
      <c r="M298" s="400">
        <f>M299+M307</f>
        <v>30.49</v>
      </c>
      <c r="N298" s="401">
        <f>M298-I298</f>
        <v>0.23081999999999425</v>
      </c>
      <c r="O298" s="402">
        <f>N298/M298</f>
        <v>7.570350934732511E-3</v>
      </c>
    </row>
    <row r="299" spans="1:15" x14ac:dyDescent="0.25">
      <c r="A299" s="182" t="s">
        <v>95</v>
      </c>
      <c r="B299" s="174"/>
      <c r="C299" s="175"/>
      <c r="D299" s="175"/>
      <c r="E299" s="176"/>
      <c r="F299" s="176"/>
      <c r="G299" s="177"/>
      <c r="H299" s="176"/>
      <c r="I299" s="176"/>
      <c r="J299" s="175"/>
      <c r="K299" s="178"/>
      <c r="L299" s="179"/>
      <c r="M299" s="429">
        <v>30.04</v>
      </c>
      <c r="N299" s="181">
        <f>M299-SUM(I299:I305)</f>
        <v>0.3977999999999966</v>
      </c>
      <c r="O299" s="430">
        <f>N299/M299</f>
        <v>1.3242343541943962E-2</v>
      </c>
    </row>
    <row r="300" spans="1:15" x14ac:dyDescent="0.25">
      <c r="A300" s="57" t="s">
        <v>108</v>
      </c>
      <c r="B300" s="58"/>
      <c r="C300" s="67">
        <v>2</v>
      </c>
      <c r="D300" s="67">
        <v>1.55</v>
      </c>
      <c r="E300" s="59"/>
      <c r="F300" s="59"/>
      <c r="G300" s="60"/>
      <c r="H300" s="59"/>
      <c r="I300" s="59">
        <f t="shared" ref="I300:I301" si="58">C300*D300</f>
        <v>3.1</v>
      </c>
      <c r="J300" s="67"/>
      <c r="K300" s="61"/>
      <c r="M300" s="405"/>
      <c r="N300" s="25" t="s">
        <v>41</v>
      </c>
      <c r="O300" s="404"/>
    </row>
    <row r="301" spans="1:15" x14ac:dyDescent="0.25">
      <c r="A301" s="57" t="s">
        <v>322</v>
      </c>
      <c r="B301" s="58"/>
      <c r="C301" s="67">
        <f>1.77+0.99</f>
        <v>2.76</v>
      </c>
      <c r="D301" s="67">
        <v>1.27</v>
      </c>
      <c r="E301" s="59"/>
      <c r="F301" s="59"/>
      <c r="G301" s="60"/>
      <c r="H301" s="59"/>
      <c r="I301" s="59">
        <f t="shared" si="58"/>
        <v>3.5051999999999999</v>
      </c>
      <c r="J301" s="67"/>
      <c r="K301" s="61"/>
      <c r="M301" s="405"/>
      <c r="N301" s="25" t="s">
        <v>41</v>
      </c>
      <c r="O301" s="404"/>
    </row>
    <row r="302" spans="1:15" x14ac:dyDescent="0.25">
      <c r="A302" s="57" t="s">
        <v>324</v>
      </c>
      <c r="B302" s="58"/>
      <c r="C302" s="67">
        <f>0.055+0.87+3.98+0.87+0.055</f>
        <v>5.83</v>
      </c>
      <c r="D302" s="67">
        <f>2.605+0.16+2</f>
        <v>4.7650000000000006</v>
      </c>
      <c r="E302" s="59"/>
      <c r="F302" s="59"/>
      <c r="G302" s="60"/>
      <c r="H302" s="59"/>
      <c r="I302" s="59">
        <f t="shared" ref="I302" si="59">C302*D302</f>
        <v>27.779950000000003</v>
      </c>
      <c r="J302" s="67"/>
      <c r="K302" s="61"/>
      <c r="M302" s="405"/>
      <c r="N302" s="25" t="s">
        <v>41</v>
      </c>
      <c r="O302" s="404"/>
    </row>
    <row r="303" spans="1:15" x14ac:dyDescent="0.25">
      <c r="A303" s="72" t="s">
        <v>326</v>
      </c>
      <c r="B303" s="73"/>
      <c r="C303" s="62">
        <f>2+0.16</f>
        <v>2.16</v>
      </c>
      <c r="D303" s="62">
        <f>1.5+0.16</f>
        <v>1.66</v>
      </c>
      <c r="E303" s="63"/>
      <c r="F303" s="63"/>
      <c r="G303" s="74">
        <v>1</v>
      </c>
      <c r="H303" s="63"/>
      <c r="I303" s="64">
        <f>C303*D303*G303*-1</f>
        <v>-3.5855999999999999</v>
      </c>
      <c r="J303" s="63"/>
      <c r="K303" s="65"/>
      <c r="M303" s="405"/>
      <c r="N303" s="25" t="s">
        <v>41</v>
      </c>
      <c r="O303" s="404"/>
    </row>
    <row r="304" spans="1:15" x14ac:dyDescent="0.25">
      <c r="A304" s="72" t="s">
        <v>325</v>
      </c>
      <c r="B304" s="73"/>
      <c r="C304" s="62">
        <v>1.63</v>
      </c>
      <c r="D304" s="62">
        <v>0.1</v>
      </c>
      <c r="E304" s="63"/>
      <c r="F304" s="63"/>
      <c r="G304" s="74">
        <v>1</v>
      </c>
      <c r="H304" s="63"/>
      <c r="I304" s="64">
        <f>C304*D304*G304*-1</f>
        <v>-0.16300000000000001</v>
      </c>
      <c r="J304" s="63"/>
      <c r="K304" s="65"/>
      <c r="M304" s="405"/>
      <c r="N304" s="25" t="s">
        <v>41</v>
      </c>
      <c r="O304" s="404"/>
    </row>
    <row r="305" spans="1:15" x14ac:dyDescent="0.25">
      <c r="A305" s="72" t="s">
        <v>327</v>
      </c>
      <c r="B305" s="73"/>
      <c r="C305" s="62">
        <v>4.7350000000000003</v>
      </c>
      <c r="D305" s="62">
        <v>0.21</v>
      </c>
      <c r="E305" s="63"/>
      <c r="F305" s="63"/>
      <c r="G305" s="74">
        <v>1</v>
      </c>
      <c r="H305" s="63"/>
      <c r="I305" s="64">
        <f>C305*D305*G305*-1</f>
        <v>-0.99435000000000007</v>
      </c>
      <c r="J305" s="63"/>
      <c r="K305" s="65"/>
      <c r="M305" s="405"/>
      <c r="N305" s="25" t="s">
        <v>41</v>
      </c>
      <c r="O305" s="404"/>
    </row>
    <row r="306" spans="1:15" x14ac:dyDescent="0.25">
      <c r="A306" s="57" t="s">
        <v>134</v>
      </c>
      <c r="B306" s="58"/>
      <c r="C306" s="67">
        <v>0.80800000000000005</v>
      </c>
      <c r="D306" s="67">
        <v>0.21</v>
      </c>
      <c r="E306" s="59"/>
      <c r="F306" s="59"/>
      <c r="G306" s="60"/>
      <c r="H306" s="59"/>
      <c r="I306" s="59">
        <f t="shared" ref="I306" si="60">C306*D306</f>
        <v>0.16968</v>
      </c>
      <c r="J306" s="67"/>
      <c r="K306" s="61"/>
      <c r="M306" s="405"/>
      <c r="N306" s="25" t="s">
        <v>41</v>
      </c>
      <c r="O306" s="404"/>
    </row>
    <row r="307" spans="1:15" x14ac:dyDescent="0.25">
      <c r="A307" s="182" t="s">
        <v>140</v>
      </c>
      <c r="B307" s="174"/>
      <c r="C307" s="175"/>
      <c r="D307" s="175"/>
      <c r="E307" s="176"/>
      <c r="F307" s="176"/>
      <c r="G307" s="177"/>
      <c r="H307" s="176"/>
      <c r="I307" s="176"/>
      <c r="J307" s="175"/>
      <c r="K307" s="178"/>
      <c r="L307" s="179"/>
      <c r="M307" s="429">
        <v>0.45</v>
      </c>
      <c r="N307" s="181">
        <f>M307-SUM(I308:I312)</f>
        <v>2.6999999999999247E-3</v>
      </c>
      <c r="O307" s="430">
        <f>N307/M307</f>
        <v>5.9999999999998327E-3</v>
      </c>
    </row>
    <row r="308" spans="1:15" x14ac:dyDescent="0.25">
      <c r="A308" s="57" t="s">
        <v>131</v>
      </c>
      <c r="B308" s="58"/>
      <c r="C308" s="67">
        <f>0.155+0.05+0.77+1.94+0.155</f>
        <v>3.07</v>
      </c>
      <c r="D308" s="59"/>
      <c r="E308" s="59"/>
      <c r="F308" s="59">
        <v>7.0000000000000007E-2</v>
      </c>
      <c r="G308" s="60"/>
      <c r="H308" s="59">
        <f>C308</f>
        <v>3.07</v>
      </c>
      <c r="I308" s="59">
        <f>H308*F308</f>
        <v>0.21490000000000001</v>
      </c>
      <c r="J308" s="67"/>
      <c r="K308" s="61"/>
      <c r="M308" s="405"/>
      <c r="N308" s="25" t="s">
        <v>41</v>
      </c>
      <c r="O308" s="404"/>
    </row>
    <row r="309" spans="1:15" x14ac:dyDescent="0.25">
      <c r="A309" s="72" t="s">
        <v>96</v>
      </c>
      <c r="B309" s="73"/>
      <c r="C309" s="62">
        <v>0.77</v>
      </c>
      <c r="D309" s="62"/>
      <c r="E309" s="63"/>
      <c r="F309" s="63">
        <v>7.0000000000000007E-2</v>
      </c>
      <c r="G309" s="74">
        <v>1</v>
      </c>
      <c r="H309" s="420">
        <f>-G309*C309</f>
        <v>-0.77</v>
      </c>
      <c r="I309" s="64">
        <f>H309*F309</f>
        <v>-5.3900000000000003E-2</v>
      </c>
      <c r="J309" s="63"/>
      <c r="K309" s="65"/>
      <c r="M309" s="405"/>
      <c r="N309" s="25" t="s">
        <v>41</v>
      </c>
      <c r="O309" s="404"/>
    </row>
    <row r="310" spans="1:15" x14ac:dyDescent="0.25">
      <c r="A310" s="57" t="s">
        <v>132</v>
      </c>
      <c r="B310" s="58"/>
      <c r="C310" s="67">
        <f>0.055+0.87+3.98+0.87+0.055</f>
        <v>5.83</v>
      </c>
      <c r="D310" s="59"/>
      <c r="E310" s="59"/>
      <c r="F310" s="59">
        <v>7.0000000000000007E-2</v>
      </c>
      <c r="G310" s="60"/>
      <c r="H310" s="59">
        <f>C310</f>
        <v>5.83</v>
      </c>
      <c r="I310" s="59">
        <f>H310*F310</f>
        <v>0.40810000000000002</v>
      </c>
      <c r="J310" s="67"/>
      <c r="K310" s="61"/>
      <c r="M310" s="405"/>
      <c r="N310" s="25" t="s">
        <v>41</v>
      </c>
      <c r="O310" s="404"/>
    </row>
    <row r="311" spans="1:15" ht="34.5" customHeight="1" x14ac:dyDescent="0.25">
      <c r="A311" s="72" t="s">
        <v>60</v>
      </c>
      <c r="B311" s="73"/>
      <c r="C311" s="62">
        <v>0.87</v>
      </c>
      <c r="D311" s="62"/>
      <c r="E311" s="63"/>
      <c r="F311" s="63">
        <v>7.0000000000000007E-2</v>
      </c>
      <c r="G311" s="74">
        <v>1</v>
      </c>
      <c r="H311" s="420">
        <f t="shared" ref="H311:H312" si="61">-G311*C311</f>
        <v>-0.87</v>
      </c>
      <c r="I311" s="64">
        <f t="shared" ref="I311:I312" si="62">H311*F311</f>
        <v>-6.0900000000000003E-2</v>
      </c>
      <c r="J311" s="63"/>
      <c r="K311" s="65"/>
      <c r="M311" s="405"/>
      <c r="N311" s="25" t="s">
        <v>41</v>
      </c>
      <c r="O311" s="404"/>
    </row>
    <row r="312" spans="1:15" ht="32.25" customHeight="1" thickBot="1" x14ac:dyDescent="0.3">
      <c r="A312" s="421" t="s">
        <v>114</v>
      </c>
      <c r="B312" s="422"/>
      <c r="C312" s="423">
        <v>0.87</v>
      </c>
      <c r="D312" s="423"/>
      <c r="E312" s="424"/>
      <c r="F312" s="424">
        <v>7.0000000000000007E-2</v>
      </c>
      <c r="G312" s="425">
        <v>1</v>
      </c>
      <c r="H312" s="426">
        <f t="shared" si="61"/>
        <v>-0.87</v>
      </c>
      <c r="I312" s="427">
        <f t="shared" si="62"/>
        <v>-6.0900000000000003E-2</v>
      </c>
      <c r="J312" s="424"/>
      <c r="K312" s="428"/>
      <c r="M312" s="407"/>
      <c r="N312" s="408"/>
      <c r="O312" s="409"/>
    </row>
    <row r="313" spans="1:15" ht="15.75" thickBot="1" x14ac:dyDescent="0.3"/>
    <row r="314" spans="1:15" ht="28.5" customHeight="1" thickBot="1" x14ac:dyDescent="0.3">
      <c r="A314" s="47" t="s">
        <v>76</v>
      </c>
      <c r="B314" s="48"/>
      <c r="C314" s="49" t="s">
        <v>2</v>
      </c>
      <c r="D314" s="49" t="s">
        <v>3</v>
      </c>
      <c r="E314" s="49" t="s">
        <v>73</v>
      </c>
      <c r="F314" s="49"/>
      <c r="G314" s="50" t="s">
        <v>1</v>
      </c>
      <c r="H314" s="49" t="s">
        <v>6</v>
      </c>
      <c r="I314" s="49" t="s">
        <v>7</v>
      </c>
      <c r="J314" s="49" t="s">
        <v>8</v>
      </c>
      <c r="K314" s="51" t="s">
        <v>9</v>
      </c>
    </row>
    <row r="315" spans="1:15" ht="29.25" customHeight="1" x14ac:dyDescent="0.25">
      <c r="A315" s="97" t="s">
        <v>67</v>
      </c>
      <c r="B315" s="108" t="s">
        <v>10</v>
      </c>
      <c r="C315" s="54"/>
      <c r="D315" s="54"/>
      <c r="E315" s="54"/>
      <c r="F315" s="54"/>
      <c r="G315" s="55"/>
      <c r="H315" s="54"/>
      <c r="I315" s="56">
        <f>I316</f>
        <v>6.1298787999999993</v>
      </c>
      <c r="J315" s="66"/>
      <c r="K315" s="1"/>
      <c r="M315" s="400">
        <f>A316*M241</f>
        <v>6.0925000000000002</v>
      </c>
      <c r="N315" s="401">
        <f>M315-I315</f>
        <v>-3.7378799999999046E-2</v>
      </c>
      <c r="O315" s="402">
        <f>N315/M315</f>
        <v>-6.1352154288057525E-3</v>
      </c>
    </row>
    <row r="316" spans="1:15" x14ac:dyDescent="0.25">
      <c r="A316" s="118">
        <v>0.05</v>
      </c>
      <c r="B316" s="119"/>
      <c r="C316" s="59"/>
      <c r="D316" s="59"/>
      <c r="E316" s="59"/>
      <c r="F316" s="59"/>
      <c r="G316" s="60"/>
      <c r="H316" s="59"/>
      <c r="I316" s="59">
        <f>A316*I241</f>
        <v>6.1298787999999993</v>
      </c>
      <c r="J316" s="67"/>
      <c r="K316" s="61"/>
      <c r="M316" s="405"/>
      <c r="N316" s="25" t="s">
        <v>41</v>
      </c>
      <c r="O316" s="404"/>
    </row>
    <row r="317" spans="1:15" ht="25.5" x14ac:dyDescent="0.25">
      <c r="A317" s="97" t="s">
        <v>189</v>
      </c>
      <c r="B317" s="108" t="s">
        <v>10</v>
      </c>
      <c r="C317" s="54"/>
      <c r="D317" s="54"/>
      <c r="E317" s="54"/>
      <c r="F317" s="54"/>
      <c r="G317" s="55"/>
      <c r="H317" s="54"/>
      <c r="I317" s="56">
        <f>I318</f>
        <v>1.5129590000000004</v>
      </c>
      <c r="J317" s="66"/>
      <c r="K317" s="1"/>
      <c r="M317" s="419">
        <f>A318*M298</f>
        <v>1.5245</v>
      </c>
      <c r="N317" s="14">
        <f>M317-I317</f>
        <v>1.1540999999999579E-2</v>
      </c>
      <c r="O317" s="415">
        <f>N317/M317</f>
        <v>7.5703509347324234E-3</v>
      </c>
    </row>
    <row r="318" spans="1:15" ht="15.75" thickBot="1" x14ac:dyDescent="0.3">
      <c r="A318" s="120">
        <v>0.05</v>
      </c>
      <c r="B318" s="121"/>
      <c r="C318" s="104"/>
      <c r="D318" s="104"/>
      <c r="E318" s="104"/>
      <c r="F318" s="104"/>
      <c r="G318" s="122"/>
      <c r="H318" s="104"/>
      <c r="I318" s="104">
        <f>A318*I298</f>
        <v>1.5129590000000004</v>
      </c>
      <c r="J318" s="123"/>
      <c r="K318" s="124"/>
      <c r="M318" s="407"/>
      <c r="N318" s="408" t="s">
        <v>41</v>
      </c>
      <c r="O318" s="409"/>
    </row>
    <row r="319" spans="1:15" ht="15.75" thickBot="1" x14ac:dyDescent="0.3"/>
    <row r="320" spans="1:15" ht="15.75" thickBot="1" x14ac:dyDescent="0.3">
      <c r="A320" s="47" t="s">
        <v>70</v>
      </c>
      <c r="B320" s="48"/>
      <c r="C320" s="49" t="s">
        <v>2</v>
      </c>
      <c r="D320" s="49" t="s">
        <v>3</v>
      </c>
      <c r="E320" s="49" t="s">
        <v>4</v>
      </c>
      <c r="F320" s="49" t="s">
        <v>5</v>
      </c>
      <c r="G320" s="50" t="s">
        <v>1</v>
      </c>
      <c r="H320" s="49" t="s">
        <v>6</v>
      </c>
      <c r="I320" s="49" t="s">
        <v>7</v>
      </c>
      <c r="J320" s="49" t="s">
        <v>8</v>
      </c>
      <c r="K320" s="51" t="s">
        <v>9</v>
      </c>
    </row>
    <row r="321" spans="1:15" x14ac:dyDescent="0.25">
      <c r="A321" s="97" t="s">
        <v>71</v>
      </c>
      <c r="B321" s="108" t="s">
        <v>35</v>
      </c>
      <c r="C321" s="54"/>
      <c r="D321" s="54"/>
      <c r="E321" s="54"/>
      <c r="F321" s="54"/>
      <c r="G321" s="55"/>
      <c r="H321" s="113">
        <f>SUM(H322:H324)</f>
        <v>2.5100000000000002</v>
      </c>
      <c r="I321" s="56">
        <f>SUM(I322:I324)</f>
        <v>0.53794999999999993</v>
      </c>
      <c r="J321" s="54"/>
      <c r="K321" s="1"/>
      <c r="M321" s="400">
        <f>0.43+0.11</f>
        <v>0.54</v>
      </c>
      <c r="N321" s="401">
        <f>M321-I321</f>
        <v>2.0500000000001073E-3</v>
      </c>
      <c r="O321" s="402">
        <f>N321/M321</f>
        <v>3.7962962962964949E-3</v>
      </c>
    </row>
    <row r="322" spans="1:15" x14ac:dyDescent="0.25">
      <c r="A322" s="57" t="s">
        <v>328</v>
      </c>
      <c r="B322" s="58"/>
      <c r="C322" s="59">
        <v>0.87</v>
      </c>
      <c r="D322" s="67">
        <v>0.245</v>
      </c>
      <c r="E322" s="59"/>
      <c r="F322" s="59"/>
      <c r="G322" s="75">
        <v>1</v>
      </c>
      <c r="H322" s="59">
        <f t="shared" ref="H322:H324" si="63">C322*G322</f>
        <v>0.87</v>
      </c>
      <c r="I322" s="59">
        <f t="shared" ref="I322:I324" si="64">H322*D322</f>
        <v>0.21315000000000001</v>
      </c>
      <c r="J322" s="67"/>
      <c r="K322" s="61"/>
      <c r="M322" s="405"/>
      <c r="N322" s="25"/>
      <c r="O322" s="404"/>
    </row>
    <row r="323" spans="1:15" x14ac:dyDescent="0.25">
      <c r="A323" s="57" t="s">
        <v>329</v>
      </c>
      <c r="B323" s="58"/>
      <c r="C323" s="59">
        <v>0.77</v>
      </c>
      <c r="D323" s="67">
        <v>0.14499999999999999</v>
      </c>
      <c r="E323" s="59"/>
      <c r="F323" s="59"/>
      <c r="G323" s="75">
        <v>1</v>
      </c>
      <c r="H323" s="59">
        <f t="shared" ref="H323" si="65">C323*G323</f>
        <v>0.77</v>
      </c>
      <c r="I323" s="59">
        <f t="shared" ref="I323" si="66">H323*D323</f>
        <v>0.11165</v>
      </c>
      <c r="J323" s="67"/>
      <c r="K323" s="61"/>
      <c r="M323" s="405"/>
      <c r="N323" s="25"/>
      <c r="O323" s="404"/>
    </row>
    <row r="324" spans="1:15" ht="15.75" thickBot="1" x14ac:dyDescent="0.3">
      <c r="A324" s="78" t="s">
        <v>330</v>
      </c>
      <c r="B324" s="79"/>
      <c r="C324" s="80">
        <v>0.87</v>
      </c>
      <c r="D324" s="83">
        <v>0.245</v>
      </c>
      <c r="E324" s="80"/>
      <c r="F324" s="80"/>
      <c r="G324" s="82">
        <v>1</v>
      </c>
      <c r="H324" s="80">
        <f t="shared" si="63"/>
        <v>0.87</v>
      </c>
      <c r="I324" s="80">
        <f t="shared" si="64"/>
        <v>0.21315000000000001</v>
      </c>
      <c r="J324" s="83"/>
      <c r="K324" s="84"/>
      <c r="M324" s="431"/>
      <c r="N324" s="260"/>
      <c r="O324" s="432"/>
    </row>
    <row r="325" spans="1:15" x14ac:dyDescent="0.25">
      <c r="A325" s="85" t="s">
        <v>116</v>
      </c>
      <c r="B325" s="107" t="s">
        <v>35</v>
      </c>
      <c r="C325" s="87"/>
      <c r="D325" s="87"/>
      <c r="E325" s="87"/>
      <c r="F325" s="87"/>
      <c r="G325" s="88"/>
      <c r="H325" s="139">
        <f>SUM(H326)</f>
        <v>1.8900000000000001</v>
      </c>
      <c r="I325" s="89">
        <f>SUM(I326)</f>
        <v>4.7250000000000007E-2</v>
      </c>
      <c r="J325" s="87"/>
      <c r="K325" s="91"/>
      <c r="M325" s="400">
        <v>0.05</v>
      </c>
      <c r="N325" s="401">
        <f>M325-I325</f>
        <v>2.7499999999999955E-3</v>
      </c>
      <c r="O325" s="402">
        <f>N325/M325</f>
        <v>5.499999999999991E-2</v>
      </c>
    </row>
    <row r="326" spans="1:15" ht="15.75" thickBot="1" x14ac:dyDescent="0.3">
      <c r="A326" s="437" t="s">
        <v>324</v>
      </c>
      <c r="B326" s="438"/>
      <c r="C326" s="439">
        <v>0.63</v>
      </c>
      <c r="D326" s="440">
        <v>2.5000000000000001E-2</v>
      </c>
      <c r="E326" s="439"/>
      <c r="F326" s="439"/>
      <c r="G326" s="441">
        <v>3</v>
      </c>
      <c r="H326" s="439">
        <f>C326*G326</f>
        <v>1.8900000000000001</v>
      </c>
      <c r="I326" s="439">
        <f>H326*D326</f>
        <v>4.7250000000000007E-2</v>
      </c>
      <c r="J326" s="440"/>
      <c r="K326" s="442"/>
      <c r="M326" s="443"/>
      <c r="N326" s="433" t="s">
        <v>41</v>
      </c>
      <c r="O326" s="444"/>
    </row>
    <row r="327" spans="1:15" x14ac:dyDescent="0.25">
      <c r="A327" s="85" t="s">
        <v>115</v>
      </c>
      <c r="B327" s="107" t="s">
        <v>35</v>
      </c>
      <c r="C327" s="87"/>
      <c r="D327" s="87"/>
      <c r="E327" s="87"/>
      <c r="F327" s="87"/>
      <c r="G327" s="88"/>
      <c r="H327" s="139"/>
      <c r="I327" s="89">
        <f>SUM(I328:I337)</f>
        <v>14.377139999999997</v>
      </c>
      <c r="J327" s="87"/>
      <c r="K327" s="91"/>
      <c r="L327" s="446"/>
      <c r="M327" s="400">
        <v>14.38</v>
      </c>
      <c r="N327" s="401">
        <f>M327-I327</f>
        <v>2.8600000000036374E-3</v>
      </c>
      <c r="O327" s="402">
        <f>N327/M327</f>
        <v>1.9888734353293723E-4</v>
      </c>
    </row>
    <row r="328" spans="1:15" ht="16.5" customHeight="1" x14ac:dyDescent="0.25">
      <c r="A328" s="102" t="s">
        <v>117</v>
      </c>
      <c r="B328" s="58"/>
      <c r="C328" s="59"/>
      <c r="D328" s="67"/>
      <c r="E328" s="59"/>
      <c r="F328" s="59"/>
      <c r="G328" s="75"/>
      <c r="H328" s="59"/>
      <c r="I328" s="59"/>
      <c r="J328" s="67"/>
      <c r="K328" s="61"/>
      <c r="L328" s="447"/>
      <c r="M328" s="405"/>
      <c r="N328" s="25"/>
      <c r="O328" s="404"/>
    </row>
    <row r="329" spans="1:15" x14ac:dyDescent="0.25">
      <c r="A329" s="57" t="s">
        <v>118</v>
      </c>
      <c r="B329" s="58"/>
      <c r="C329" s="59">
        <f>(1.1683+0.025)*3</f>
        <v>3.5798999999999994</v>
      </c>
      <c r="D329" s="67">
        <v>1.8</v>
      </c>
      <c r="E329" s="59"/>
      <c r="F329" s="59"/>
      <c r="G329" s="75">
        <v>1</v>
      </c>
      <c r="H329" s="59"/>
      <c r="I329" s="59">
        <f>C329*D329*G329</f>
        <v>6.4438199999999988</v>
      </c>
      <c r="J329" s="67"/>
      <c r="K329" s="61"/>
      <c r="L329" s="447"/>
      <c r="M329" s="405"/>
      <c r="N329" s="25"/>
      <c r="O329" s="404"/>
    </row>
    <row r="330" spans="1:15" x14ac:dyDescent="0.25">
      <c r="A330" s="72" t="s">
        <v>119</v>
      </c>
      <c r="B330" s="73"/>
      <c r="C330" s="62">
        <v>0.63</v>
      </c>
      <c r="D330" s="62">
        <v>1.8</v>
      </c>
      <c r="E330" s="63"/>
      <c r="F330" s="63"/>
      <c r="G330" s="74">
        <v>3</v>
      </c>
      <c r="H330" s="63"/>
      <c r="I330" s="64">
        <f>C330*D330*G330*-1</f>
        <v>-3.4020000000000001</v>
      </c>
      <c r="J330" s="63"/>
      <c r="K330" s="65"/>
      <c r="L330" s="447"/>
      <c r="M330" s="405"/>
      <c r="N330" s="25"/>
      <c r="O330" s="404"/>
    </row>
    <row r="331" spans="1:15" x14ac:dyDescent="0.25">
      <c r="A331" s="57" t="s">
        <v>120</v>
      </c>
      <c r="B331" s="58"/>
      <c r="C331" s="59">
        <v>1.26</v>
      </c>
      <c r="D331" s="67">
        <f>1.8-0.15</f>
        <v>1.6500000000000001</v>
      </c>
      <c r="E331" s="59"/>
      <c r="F331" s="59"/>
      <c r="G331" s="75">
        <v>2</v>
      </c>
      <c r="H331" s="59"/>
      <c r="I331" s="59">
        <f>C331*D331*G331</f>
        <v>4.1580000000000004</v>
      </c>
      <c r="J331" s="67"/>
      <c r="K331" s="61"/>
      <c r="L331" s="447"/>
      <c r="M331" s="405"/>
      <c r="N331" s="25"/>
      <c r="O331" s="404"/>
    </row>
    <row r="332" spans="1:15" x14ac:dyDescent="0.25">
      <c r="A332" s="57" t="s">
        <v>122</v>
      </c>
      <c r="B332" s="58"/>
      <c r="C332" s="59">
        <v>0.40500000000000003</v>
      </c>
      <c r="D332" s="67">
        <v>0.9</v>
      </c>
      <c r="E332" s="59"/>
      <c r="F332" s="59"/>
      <c r="G332" s="75">
        <v>1</v>
      </c>
      <c r="H332" s="59"/>
      <c r="I332" s="59">
        <f>C332*D332*G332</f>
        <v>0.36450000000000005</v>
      </c>
      <c r="J332" s="67"/>
      <c r="K332" s="61"/>
      <c r="L332" s="447"/>
      <c r="M332" s="405"/>
      <c r="N332" s="25"/>
      <c r="O332" s="404"/>
    </row>
    <row r="333" spans="1:15" x14ac:dyDescent="0.25">
      <c r="A333" s="57" t="s">
        <v>123</v>
      </c>
      <c r="B333" s="58"/>
      <c r="C333" s="59">
        <v>0.54500000000000004</v>
      </c>
      <c r="D333" s="67">
        <v>1.8</v>
      </c>
      <c r="E333" s="59"/>
      <c r="F333" s="59"/>
      <c r="G333" s="75">
        <v>1</v>
      </c>
      <c r="H333" s="59"/>
      <c r="I333" s="59">
        <f>C333*D333*G333</f>
        <v>0.98100000000000009</v>
      </c>
      <c r="J333" s="67"/>
      <c r="K333" s="61"/>
      <c r="L333" s="447"/>
      <c r="M333" s="405"/>
      <c r="N333" s="25" t="s">
        <v>41</v>
      </c>
      <c r="O333" s="404"/>
    </row>
    <row r="334" spans="1:15" x14ac:dyDescent="0.25">
      <c r="A334" s="102" t="s">
        <v>121</v>
      </c>
      <c r="B334" s="58"/>
      <c r="C334" s="59"/>
      <c r="D334" s="67"/>
      <c r="E334" s="59"/>
      <c r="F334" s="59"/>
      <c r="G334" s="75"/>
      <c r="H334" s="59"/>
      <c r="I334" s="59"/>
      <c r="J334" s="67"/>
      <c r="K334" s="61"/>
      <c r="L334" s="447"/>
      <c r="M334" s="405"/>
      <c r="N334" s="25"/>
      <c r="O334" s="404"/>
    </row>
    <row r="335" spans="1:15" x14ac:dyDescent="0.25">
      <c r="A335" s="57" t="s">
        <v>118</v>
      </c>
      <c r="B335" s="58"/>
      <c r="C335" s="59">
        <f>(0.8533*3)+(0.025*2)</f>
        <v>2.6098999999999997</v>
      </c>
      <c r="D335" s="67">
        <v>1.8</v>
      </c>
      <c r="E335" s="59"/>
      <c r="F335" s="59"/>
      <c r="G335" s="75">
        <v>1</v>
      </c>
      <c r="H335" s="59"/>
      <c r="I335" s="59">
        <f>C335*D335*G335</f>
        <v>4.6978199999999992</v>
      </c>
      <c r="J335" s="67"/>
      <c r="K335" s="61"/>
      <c r="L335" s="447"/>
      <c r="M335" s="405"/>
      <c r="N335" s="25"/>
      <c r="O335" s="404"/>
    </row>
    <row r="336" spans="1:15" x14ac:dyDescent="0.25">
      <c r="A336" s="72" t="s">
        <v>119</v>
      </c>
      <c r="B336" s="73"/>
      <c r="C336" s="62">
        <v>0.63</v>
      </c>
      <c r="D336" s="62">
        <v>1.8</v>
      </c>
      <c r="E336" s="63"/>
      <c r="F336" s="63"/>
      <c r="G336" s="74">
        <v>3</v>
      </c>
      <c r="H336" s="63"/>
      <c r="I336" s="64">
        <f>C336*D336*G336*-1</f>
        <v>-3.4020000000000001</v>
      </c>
      <c r="J336" s="63"/>
      <c r="K336" s="65"/>
      <c r="L336" s="447"/>
      <c r="M336" s="405"/>
      <c r="N336" s="25"/>
      <c r="O336" s="404"/>
    </row>
    <row r="337" spans="1:15" ht="15.75" thickBot="1" x14ac:dyDescent="0.3">
      <c r="A337" s="78" t="s">
        <v>120</v>
      </c>
      <c r="B337" s="79"/>
      <c r="C337" s="80">
        <v>1.26</v>
      </c>
      <c r="D337" s="83">
        <v>1.8</v>
      </c>
      <c r="E337" s="80"/>
      <c r="F337" s="80"/>
      <c r="G337" s="82">
        <v>2</v>
      </c>
      <c r="H337" s="80"/>
      <c r="I337" s="80">
        <f>C337*D337*G337</f>
        <v>4.5360000000000005</v>
      </c>
      <c r="J337" s="83"/>
      <c r="K337" s="84"/>
      <c r="L337" s="260"/>
      <c r="M337" s="407"/>
      <c r="N337" s="408"/>
      <c r="O337" s="409"/>
    </row>
    <row r="338" spans="1:15" x14ac:dyDescent="0.25">
      <c r="A338" s="97" t="s">
        <v>124</v>
      </c>
      <c r="B338" s="108" t="s">
        <v>35</v>
      </c>
      <c r="C338" s="54"/>
      <c r="D338" s="54"/>
      <c r="E338" s="54"/>
      <c r="F338" s="54"/>
      <c r="G338" s="55"/>
      <c r="H338" s="445"/>
      <c r="I338" s="54"/>
      <c r="J338" s="54"/>
      <c r="K338" s="1"/>
      <c r="M338" s="405"/>
      <c r="N338" s="25"/>
      <c r="O338" s="404"/>
    </row>
    <row r="339" spans="1:15" x14ac:dyDescent="0.25">
      <c r="A339" s="102" t="s">
        <v>331</v>
      </c>
      <c r="B339" s="58"/>
      <c r="C339" s="59"/>
      <c r="D339" s="67"/>
      <c r="E339" s="59"/>
      <c r="F339" s="59"/>
      <c r="G339" s="75"/>
      <c r="H339" s="59"/>
      <c r="I339" s="59"/>
      <c r="J339" s="67"/>
      <c r="K339" s="61"/>
      <c r="M339" s="405"/>
      <c r="N339" s="25"/>
      <c r="O339" s="404"/>
    </row>
    <row r="340" spans="1:15" x14ac:dyDescent="0.25">
      <c r="A340" s="57" t="s">
        <v>126</v>
      </c>
      <c r="B340" s="58"/>
      <c r="C340" s="59">
        <v>2</v>
      </c>
      <c r="D340" s="67">
        <v>0.54500000000000004</v>
      </c>
      <c r="E340" s="59"/>
      <c r="F340" s="59"/>
      <c r="G340" s="75">
        <v>1</v>
      </c>
      <c r="H340" s="59"/>
      <c r="I340" s="59">
        <f>C340*D340*G340</f>
        <v>1.0900000000000001</v>
      </c>
      <c r="J340" s="67"/>
      <c r="K340" s="61" t="s">
        <v>176</v>
      </c>
      <c r="M340" s="405"/>
      <c r="N340" s="25"/>
      <c r="O340" s="404"/>
    </row>
    <row r="341" spans="1:15" x14ac:dyDescent="0.25">
      <c r="A341" s="57" t="s">
        <v>128</v>
      </c>
      <c r="B341" s="58"/>
      <c r="C341" s="59">
        <v>2</v>
      </c>
      <c r="D341" s="67">
        <v>0.54500000000000004</v>
      </c>
      <c r="E341" s="59">
        <v>0.1</v>
      </c>
      <c r="F341" s="59"/>
      <c r="G341" s="75">
        <v>1</v>
      </c>
      <c r="H341" s="59">
        <f>C341+D341+D341</f>
        <v>3.09</v>
      </c>
      <c r="I341" s="59">
        <f>H341*E341</f>
        <v>0.309</v>
      </c>
      <c r="J341" s="67"/>
      <c r="K341" s="61" t="s">
        <v>176</v>
      </c>
      <c r="M341" s="405"/>
      <c r="N341" s="25"/>
      <c r="O341" s="404"/>
    </row>
    <row r="342" spans="1:15" x14ac:dyDescent="0.25">
      <c r="A342" s="143" t="s">
        <v>129</v>
      </c>
      <c r="B342" s="127"/>
      <c r="C342" s="158">
        <v>2</v>
      </c>
      <c r="D342" s="144">
        <v>0</v>
      </c>
      <c r="E342" s="69">
        <v>0.1</v>
      </c>
      <c r="F342" s="69"/>
      <c r="G342" s="70">
        <v>1</v>
      </c>
      <c r="H342" s="69">
        <f>C342+D342</f>
        <v>2</v>
      </c>
      <c r="I342" s="69">
        <f>H342*E342</f>
        <v>0.2</v>
      </c>
      <c r="J342" s="144"/>
      <c r="K342" s="61" t="s">
        <v>176</v>
      </c>
      <c r="M342" s="405"/>
      <c r="N342" s="25"/>
      <c r="O342" s="404"/>
    </row>
    <row r="343" spans="1:15" x14ac:dyDescent="0.25">
      <c r="A343" s="102" t="s">
        <v>125</v>
      </c>
      <c r="B343" s="58"/>
      <c r="C343" s="59"/>
      <c r="D343" s="67"/>
      <c r="E343" s="59"/>
      <c r="F343" s="59"/>
      <c r="G343" s="75"/>
      <c r="H343" s="59"/>
      <c r="I343" s="59"/>
      <c r="J343" s="67"/>
      <c r="K343" s="61"/>
      <c r="M343" s="405"/>
      <c r="N343" s="25"/>
      <c r="O343" s="404"/>
    </row>
    <row r="344" spans="1:15" x14ac:dyDescent="0.25">
      <c r="A344" s="57" t="s">
        <v>126</v>
      </c>
      <c r="B344" s="58"/>
      <c r="C344" s="59">
        <v>0.8</v>
      </c>
      <c r="D344" s="67">
        <v>0.5</v>
      </c>
      <c r="E344" s="59"/>
      <c r="F344" s="59"/>
      <c r="G344" s="75">
        <v>1</v>
      </c>
      <c r="H344" s="59"/>
      <c r="I344" s="59">
        <f>C344*D344*G344</f>
        <v>0.4</v>
      </c>
      <c r="J344" s="67"/>
      <c r="K344" s="61" t="s">
        <v>127</v>
      </c>
      <c r="M344" s="419">
        <f>0.3+(1*PI()*0.25*0.36*0.36)</f>
        <v>0.40178760197630931</v>
      </c>
      <c r="N344" s="14">
        <f>M344-I344</f>
        <v>1.7876019763092832E-3</v>
      </c>
      <c r="O344" s="415">
        <f>N344/M344</f>
        <v>4.4491217934959724E-3</v>
      </c>
    </row>
    <row r="345" spans="1:15" x14ac:dyDescent="0.25">
      <c r="A345" s="57" t="s">
        <v>128</v>
      </c>
      <c r="B345" s="58"/>
      <c r="C345" s="59">
        <v>0.8</v>
      </c>
      <c r="D345" s="67">
        <v>0.5</v>
      </c>
      <c r="E345" s="59">
        <v>0.1</v>
      </c>
      <c r="F345" s="59"/>
      <c r="G345" s="75">
        <v>1</v>
      </c>
      <c r="H345" s="59">
        <f>C345+D345</f>
        <v>1.3</v>
      </c>
      <c r="I345" s="59">
        <f>H345*E345</f>
        <v>0.13</v>
      </c>
      <c r="J345" s="67"/>
      <c r="K345" s="61"/>
      <c r="M345" s="419">
        <v>0.13</v>
      </c>
      <c r="N345" s="14">
        <f>M345-I345</f>
        <v>0</v>
      </c>
      <c r="O345" s="415">
        <f>N345/M345</f>
        <v>0</v>
      </c>
    </row>
    <row r="346" spans="1:15" ht="15.75" thickBot="1" x14ac:dyDescent="0.3">
      <c r="A346" s="78" t="s">
        <v>129</v>
      </c>
      <c r="B346" s="79"/>
      <c r="C346" s="80">
        <v>0.8</v>
      </c>
      <c r="D346" s="83">
        <v>0.5</v>
      </c>
      <c r="E346" s="80">
        <v>0.1</v>
      </c>
      <c r="F346" s="80"/>
      <c r="G346" s="82">
        <v>1</v>
      </c>
      <c r="H346" s="80">
        <f>C346+D346</f>
        <v>1.3</v>
      </c>
      <c r="I346" s="80">
        <f>H346*E346</f>
        <v>0.13</v>
      </c>
      <c r="J346" s="83"/>
      <c r="K346" s="84"/>
      <c r="M346" s="434">
        <v>0.13</v>
      </c>
      <c r="N346" s="435">
        <f>M346-I346</f>
        <v>0</v>
      </c>
      <c r="O346" s="436">
        <f>N346/M346</f>
        <v>0</v>
      </c>
    </row>
    <row r="347" spans="1:15" ht="15.75" thickBot="1" x14ac:dyDescent="0.3"/>
    <row r="348" spans="1:15" ht="15.75" thickBot="1" x14ac:dyDescent="0.3">
      <c r="A348" s="47" t="s">
        <v>72</v>
      </c>
      <c r="B348" s="48"/>
      <c r="C348" s="49" t="s">
        <v>2</v>
      </c>
      <c r="D348" s="49" t="s">
        <v>3</v>
      </c>
      <c r="E348" s="49" t="s">
        <v>73</v>
      </c>
      <c r="F348" s="49"/>
      <c r="G348" s="50" t="s">
        <v>1</v>
      </c>
      <c r="H348" s="49" t="s">
        <v>6</v>
      </c>
      <c r="I348" s="49" t="s">
        <v>7</v>
      </c>
      <c r="J348" s="49" t="s">
        <v>8</v>
      </c>
      <c r="K348" s="51" t="s">
        <v>9</v>
      </c>
    </row>
    <row r="349" spans="1:15" x14ac:dyDescent="0.25">
      <c r="A349" s="85" t="s">
        <v>429</v>
      </c>
      <c r="B349" s="107" t="s">
        <v>1</v>
      </c>
      <c r="C349" s="114">
        <v>0.8</v>
      </c>
      <c r="D349" s="87">
        <v>2.1</v>
      </c>
      <c r="E349" s="87"/>
      <c r="F349" s="87"/>
      <c r="G349" s="142">
        <f>SUM(G350:G350)</f>
        <v>1</v>
      </c>
      <c r="H349" s="87"/>
      <c r="I349" s="87">
        <f>G349*C349*D349*3</f>
        <v>5.0400000000000009</v>
      </c>
      <c r="J349" s="87"/>
      <c r="K349" s="115" t="s">
        <v>74</v>
      </c>
      <c r="M349" s="412">
        <v>1</v>
      </c>
      <c r="N349" s="413">
        <f>M349-G349</f>
        <v>0</v>
      </c>
      <c r="O349" s="402">
        <f>N349/M349</f>
        <v>0</v>
      </c>
    </row>
    <row r="350" spans="1:15" x14ac:dyDescent="0.25">
      <c r="A350" s="57" t="s">
        <v>324</v>
      </c>
      <c r="B350" s="58"/>
      <c r="C350" s="59"/>
      <c r="D350" s="67"/>
      <c r="E350" s="59"/>
      <c r="F350" s="59"/>
      <c r="G350" s="75">
        <v>1</v>
      </c>
      <c r="H350" s="59"/>
      <c r="I350" s="59"/>
      <c r="J350" s="67"/>
      <c r="K350" s="61"/>
      <c r="M350" s="405"/>
      <c r="N350" s="25"/>
      <c r="O350" s="404"/>
    </row>
    <row r="351" spans="1:15" x14ac:dyDescent="0.25">
      <c r="A351" s="97" t="s">
        <v>408</v>
      </c>
      <c r="B351" s="108" t="s">
        <v>1</v>
      </c>
      <c r="C351" s="130">
        <v>0.7</v>
      </c>
      <c r="D351" s="54">
        <v>2.1</v>
      </c>
      <c r="E351" s="54"/>
      <c r="F351" s="54"/>
      <c r="G351" s="136">
        <f>SUM(G352:G352)</f>
        <v>1</v>
      </c>
      <c r="H351" s="54"/>
      <c r="I351" s="54">
        <f>G351*C351*D351*3</f>
        <v>4.41</v>
      </c>
      <c r="J351" s="54"/>
      <c r="K351" s="115" t="s">
        <v>74</v>
      </c>
      <c r="M351" s="414">
        <v>1</v>
      </c>
      <c r="N351" s="116">
        <f>M351-G351</f>
        <v>0</v>
      </c>
      <c r="O351" s="415">
        <f>N351/M351</f>
        <v>0</v>
      </c>
    </row>
    <row r="352" spans="1:15" x14ac:dyDescent="0.25">
      <c r="A352" s="57" t="s">
        <v>322</v>
      </c>
      <c r="B352" s="58"/>
      <c r="C352" s="59"/>
      <c r="D352" s="67"/>
      <c r="E352" s="59"/>
      <c r="F352" s="59"/>
      <c r="G352" s="75">
        <v>1</v>
      </c>
      <c r="H352" s="59"/>
      <c r="I352" s="59"/>
      <c r="J352" s="67"/>
      <c r="K352" s="61"/>
      <c r="M352" s="405"/>
      <c r="N352" s="25"/>
      <c r="O352" s="404"/>
    </row>
    <row r="353" spans="1:15" x14ac:dyDescent="0.25">
      <c r="A353" s="97" t="s">
        <v>203</v>
      </c>
      <c r="B353" s="108" t="s">
        <v>1</v>
      </c>
      <c r="C353" s="130">
        <v>0.6</v>
      </c>
      <c r="D353" s="54">
        <v>1.6</v>
      </c>
      <c r="E353" s="54"/>
      <c r="F353" s="54"/>
      <c r="G353" s="136">
        <f>SUM(G354:G354)</f>
        <v>6</v>
      </c>
      <c r="H353" s="54"/>
      <c r="I353" s="54">
        <f>G353*C353*D353*3</f>
        <v>17.28</v>
      </c>
      <c r="J353" s="54"/>
      <c r="K353" s="115"/>
      <c r="M353" s="414">
        <v>6</v>
      </c>
      <c r="N353" s="116">
        <f>M353-G353</f>
        <v>0</v>
      </c>
      <c r="O353" s="415">
        <f>N353/M353</f>
        <v>0</v>
      </c>
    </row>
    <row r="354" spans="1:15" x14ac:dyDescent="0.25">
      <c r="A354" s="57" t="s">
        <v>324</v>
      </c>
      <c r="B354" s="58"/>
      <c r="C354" s="59"/>
      <c r="D354" s="67"/>
      <c r="E354" s="59"/>
      <c r="F354" s="59"/>
      <c r="G354" s="75">
        <f>3+3</f>
        <v>6</v>
      </c>
      <c r="H354" s="59"/>
      <c r="I354" s="59"/>
      <c r="J354" s="67"/>
      <c r="K354" s="61"/>
      <c r="M354" s="405"/>
      <c r="N354" s="25"/>
      <c r="O354" s="404"/>
    </row>
    <row r="355" spans="1:15" ht="25.5" x14ac:dyDescent="0.25">
      <c r="A355" s="151" t="s">
        <v>409</v>
      </c>
      <c r="B355" s="152" t="s">
        <v>1</v>
      </c>
      <c r="C355" s="130">
        <v>0.8</v>
      </c>
      <c r="D355" s="153">
        <v>2.1</v>
      </c>
      <c r="E355" s="153"/>
      <c r="F355" s="153"/>
      <c r="G355" s="117">
        <f>G356</f>
        <v>1</v>
      </c>
      <c r="H355" s="153"/>
      <c r="I355" s="153">
        <f>G355*C355*D355*3</f>
        <v>5.0400000000000009</v>
      </c>
      <c r="J355" s="153"/>
      <c r="K355" s="115" t="s">
        <v>74</v>
      </c>
      <c r="M355" s="414">
        <v>1</v>
      </c>
      <c r="N355" s="116">
        <f>M355-G355</f>
        <v>0</v>
      </c>
      <c r="O355" s="415">
        <f>N355/M355</f>
        <v>0</v>
      </c>
    </row>
    <row r="356" spans="1:15" ht="15.75" thickBot="1" x14ac:dyDescent="0.3">
      <c r="A356" s="145" t="s">
        <v>108</v>
      </c>
      <c r="B356" s="146"/>
      <c r="C356" s="147"/>
      <c r="D356" s="148"/>
      <c r="E356" s="147"/>
      <c r="F356" s="147"/>
      <c r="G356" s="149">
        <v>1</v>
      </c>
      <c r="H356" s="147"/>
      <c r="I356" s="147"/>
      <c r="J356" s="148"/>
      <c r="K356" s="150"/>
      <c r="M356" s="448"/>
      <c r="N356" s="449"/>
      <c r="O356" s="450"/>
    </row>
    <row r="357" spans="1:15" ht="15.75" thickTop="1" x14ac:dyDescent="0.25">
      <c r="A357" s="97" t="s">
        <v>175</v>
      </c>
      <c r="B357" s="108" t="s">
        <v>1</v>
      </c>
      <c r="C357" s="140">
        <v>1.9</v>
      </c>
      <c r="D357" s="54">
        <v>0.6</v>
      </c>
      <c r="E357" s="54"/>
      <c r="F357" s="54"/>
      <c r="G357" s="136">
        <f>G358</f>
        <v>1</v>
      </c>
      <c r="H357" s="54"/>
      <c r="I357" s="54">
        <f>C357*D357*3</f>
        <v>3.42</v>
      </c>
      <c r="J357" s="54"/>
      <c r="K357" s="141"/>
      <c r="M357" s="414">
        <v>1</v>
      </c>
      <c r="N357" s="116">
        <f>M357-G357</f>
        <v>0</v>
      </c>
      <c r="O357" s="415">
        <f>N357/M357</f>
        <v>0</v>
      </c>
    </row>
    <row r="358" spans="1:15" x14ac:dyDescent="0.25">
      <c r="A358" s="143" t="s">
        <v>322</v>
      </c>
      <c r="B358" s="68"/>
      <c r="C358" s="69"/>
      <c r="D358" s="144"/>
      <c r="E358" s="69"/>
      <c r="F358" s="69"/>
      <c r="G358" s="70">
        <v>1</v>
      </c>
      <c r="H358" s="69"/>
      <c r="I358" s="69"/>
      <c r="J358" s="144"/>
      <c r="K358" s="71"/>
      <c r="M358" s="405"/>
      <c r="N358" s="25"/>
      <c r="O358" s="404"/>
    </row>
    <row r="359" spans="1:15" x14ac:dyDescent="0.25">
      <c r="A359" s="97" t="s">
        <v>130</v>
      </c>
      <c r="B359" s="108" t="s">
        <v>1</v>
      </c>
      <c r="C359" s="140">
        <v>1.27</v>
      </c>
      <c r="D359" s="54">
        <v>1.8</v>
      </c>
      <c r="E359" s="54"/>
      <c r="F359" s="54"/>
      <c r="G359" s="136">
        <f>G360</f>
        <v>1</v>
      </c>
      <c r="H359" s="54"/>
      <c r="I359" s="54">
        <f>C359*D359*3</f>
        <v>6.8580000000000005</v>
      </c>
      <c r="J359" s="54"/>
      <c r="K359" s="141"/>
      <c r="M359" s="414">
        <v>1</v>
      </c>
      <c r="N359" s="116">
        <f>M359-G359</f>
        <v>0</v>
      </c>
      <c r="O359" s="415">
        <f>N359/M359</f>
        <v>0</v>
      </c>
    </row>
    <row r="360" spans="1:15" ht="15.75" thickBot="1" x14ac:dyDescent="0.3">
      <c r="A360" s="154" t="s">
        <v>322</v>
      </c>
      <c r="B360" s="103"/>
      <c r="C360" s="104"/>
      <c r="D360" s="123"/>
      <c r="E360" s="104"/>
      <c r="F360" s="104"/>
      <c r="G360" s="129">
        <v>1</v>
      </c>
      <c r="H360" s="104"/>
      <c r="I360" s="104"/>
      <c r="J360" s="123"/>
      <c r="K360" s="124"/>
      <c r="M360" s="407"/>
      <c r="N360" s="408"/>
      <c r="O360" s="409"/>
    </row>
    <row r="361" spans="1:15" ht="15.75" thickBot="1" x14ac:dyDescent="0.3"/>
    <row r="362" spans="1:15" ht="15.75" thickBot="1" x14ac:dyDescent="0.3">
      <c r="A362" s="47" t="s">
        <v>75</v>
      </c>
      <c r="B362" s="48"/>
      <c r="C362" s="49" t="s">
        <v>2</v>
      </c>
      <c r="D362" s="49" t="s">
        <v>3</v>
      </c>
      <c r="E362" s="49" t="s">
        <v>4</v>
      </c>
      <c r="F362" s="49" t="s">
        <v>5</v>
      </c>
      <c r="G362" s="50" t="s">
        <v>1</v>
      </c>
      <c r="H362" s="49" t="s">
        <v>6</v>
      </c>
      <c r="I362" s="49" t="s">
        <v>7</v>
      </c>
      <c r="J362" s="49" t="s">
        <v>8</v>
      </c>
      <c r="K362" s="51" t="s">
        <v>9</v>
      </c>
    </row>
    <row r="363" spans="1:15" x14ac:dyDescent="0.25">
      <c r="A363" s="85" t="s">
        <v>77</v>
      </c>
      <c r="B363" s="108" t="s">
        <v>1</v>
      </c>
      <c r="C363" s="87"/>
      <c r="D363" s="87"/>
      <c r="E363" s="87"/>
      <c r="F363" s="87"/>
      <c r="G363" s="117">
        <f>SUM(G364:G364)</f>
        <v>1</v>
      </c>
      <c r="H363" s="87"/>
      <c r="I363" s="54"/>
      <c r="J363" s="87"/>
      <c r="K363" s="91"/>
      <c r="M363" s="412">
        <v>1</v>
      </c>
      <c r="N363" s="413">
        <f>M363-G363</f>
        <v>0</v>
      </c>
      <c r="O363" s="402">
        <f>N363/M363</f>
        <v>0</v>
      </c>
    </row>
    <row r="364" spans="1:15" x14ac:dyDescent="0.25">
      <c r="A364" s="105" t="s">
        <v>108</v>
      </c>
      <c r="B364" s="109"/>
      <c r="C364" s="59">
        <v>0.5</v>
      </c>
      <c r="D364" s="59">
        <v>0.9</v>
      </c>
      <c r="E364" s="77"/>
      <c r="F364" s="77"/>
      <c r="G364" s="75">
        <v>1</v>
      </c>
      <c r="H364" s="59"/>
      <c r="I364" s="59">
        <f>C364*D364</f>
        <v>0.45</v>
      </c>
      <c r="J364" s="77"/>
      <c r="K364" s="61"/>
      <c r="M364" s="405"/>
      <c r="N364" s="125" t="s">
        <v>41</v>
      </c>
      <c r="O364" s="404"/>
    </row>
    <row r="365" spans="1:15" x14ac:dyDescent="0.25">
      <c r="A365" s="97" t="s">
        <v>173</v>
      </c>
      <c r="B365" s="108" t="s">
        <v>1</v>
      </c>
      <c r="C365" s="54"/>
      <c r="D365" s="54"/>
      <c r="E365" s="54"/>
      <c r="F365" s="54"/>
      <c r="G365" s="117">
        <f>SUM(G366:G366)</f>
        <v>1</v>
      </c>
      <c r="H365" s="54"/>
      <c r="I365" s="54"/>
      <c r="J365" s="54"/>
      <c r="K365" s="1"/>
      <c r="M365" s="414">
        <v>1</v>
      </c>
      <c r="N365" s="116">
        <f>M365-G365</f>
        <v>0</v>
      </c>
      <c r="O365" s="415">
        <f>N365/M365</f>
        <v>0</v>
      </c>
    </row>
    <row r="366" spans="1:15" x14ac:dyDescent="0.25">
      <c r="A366" s="105" t="s">
        <v>323</v>
      </c>
      <c r="B366" s="109"/>
      <c r="C366" s="59">
        <v>0.8</v>
      </c>
      <c r="D366" s="59">
        <v>0.9</v>
      </c>
      <c r="E366" s="77"/>
      <c r="F366" s="77"/>
      <c r="G366" s="75">
        <v>1</v>
      </c>
      <c r="H366" s="59"/>
      <c r="I366" s="59">
        <f>C366*D366</f>
        <v>0.72000000000000008</v>
      </c>
      <c r="J366" s="77"/>
      <c r="K366" s="61"/>
      <c r="M366" s="405"/>
      <c r="N366" s="125"/>
      <c r="O366" s="404"/>
    </row>
    <row r="367" spans="1:15" x14ac:dyDescent="0.25">
      <c r="A367" s="97" t="s">
        <v>174</v>
      </c>
      <c r="B367" s="108" t="s">
        <v>1</v>
      </c>
      <c r="C367" s="54"/>
      <c r="D367" s="54"/>
      <c r="E367" s="54"/>
      <c r="F367" s="54"/>
      <c r="G367" s="117">
        <f>SUM(G368:G368)</f>
        <v>1</v>
      </c>
      <c r="H367" s="54"/>
      <c r="I367" s="54"/>
      <c r="J367" s="54"/>
      <c r="K367" s="1"/>
      <c r="M367" s="414">
        <v>1</v>
      </c>
      <c r="N367" s="116">
        <f>M367-G367</f>
        <v>0</v>
      </c>
      <c r="O367" s="415">
        <f>N367/M367</f>
        <v>0</v>
      </c>
    </row>
    <row r="368" spans="1:15" ht="15.75" thickBot="1" x14ac:dyDescent="0.3">
      <c r="A368" s="110" t="s">
        <v>320</v>
      </c>
      <c r="B368" s="111"/>
      <c r="C368" s="80">
        <v>2</v>
      </c>
      <c r="D368" s="80">
        <v>0.9</v>
      </c>
      <c r="E368" s="81"/>
      <c r="F368" s="81"/>
      <c r="G368" s="82">
        <v>1</v>
      </c>
      <c r="H368" s="80"/>
      <c r="I368" s="80">
        <f t="shared" ref="I368" si="67">C368*D368</f>
        <v>1.8</v>
      </c>
      <c r="J368" s="81"/>
      <c r="K368" s="84"/>
      <c r="M368" s="407"/>
      <c r="N368" s="408" t="s">
        <v>41</v>
      </c>
      <c r="O368" s="409"/>
    </row>
    <row r="369" spans="1:15" ht="15.75" thickBot="1" x14ac:dyDescent="0.3"/>
    <row r="370" spans="1:15" ht="15.75" thickBot="1" x14ac:dyDescent="0.3">
      <c r="A370" s="47" t="s">
        <v>78</v>
      </c>
      <c r="B370" s="48"/>
      <c r="C370" s="49" t="s">
        <v>2</v>
      </c>
      <c r="D370" s="49" t="s">
        <v>3</v>
      </c>
      <c r="E370" s="49" t="s">
        <v>4</v>
      </c>
      <c r="F370" s="49" t="s">
        <v>5</v>
      </c>
      <c r="G370" s="50" t="s">
        <v>1</v>
      </c>
      <c r="H370" s="49" t="s">
        <v>6</v>
      </c>
      <c r="I370" s="49" t="s">
        <v>7</v>
      </c>
      <c r="J370" s="49" t="s">
        <v>8</v>
      </c>
      <c r="K370" s="51" t="s">
        <v>9</v>
      </c>
    </row>
    <row r="371" spans="1:15" ht="25.5" x14ac:dyDescent="0.25">
      <c r="A371" s="97" t="s">
        <v>79</v>
      </c>
      <c r="B371" s="108" t="s">
        <v>1</v>
      </c>
      <c r="C371" s="54"/>
      <c r="D371" s="54"/>
      <c r="E371" s="54"/>
      <c r="F371" s="54"/>
      <c r="G371" s="117">
        <f>G374+G373+G372</f>
        <v>3</v>
      </c>
      <c r="H371" s="54"/>
      <c r="I371" s="54"/>
      <c r="J371" s="54"/>
      <c r="K371" s="1"/>
      <c r="M371" s="412">
        <v>3</v>
      </c>
      <c r="N371" s="413">
        <f>M371-G371</f>
        <v>0</v>
      </c>
      <c r="O371" s="402">
        <f>N371/M371</f>
        <v>0</v>
      </c>
    </row>
    <row r="372" spans="1:15" x14ac:dyDescent="0.25">
      <c r="A372" s="105" t="s">
        <v>108</v>
      </c>
      <c r="B372" s="109"/>
      <c r="C372" s="59"/>
      <c r="D372" s="77"/>
      <c r="E372" s="77"/>
      <c r="F372" s="77"/>
      <c r="G372" s="70">
        <v>1</v>
      </c>
      <c r="H372" s="59"/>
      <c r="I372" s="59"/>
      <c r="J372" s="77"/>
      <c r="K372" s="61"/>
      <c r="M372" s="405"/>
      <c r="N372" s="25" t="s">
        <v>41</v>
      </c>
      <c r="O372" s="404"/>
    </row>
    <row r="373" spans="1:15" x14ac:dyDescent="0.25">
      <c r="A373" s="126" t="s">
        <v>323</v>
      </c>
      <c r="B373" s="127"/>
      <c r="C373" s="69"/>
      <c r="D373" s="128"/>
      <c r="E373" s="128"/>
      <c r="F373" s="128"/>
      <c r="G373" s="70">
        <v>1</v>
      </c>
      <c r="H373" s="69"/>
      <c r="I373" s="69"/>
      <c r="J373" s="128"/>
      <c r="K373" s="71"/>
      <c r="M373" s="405"/>
      <c r="N373" s="25" t="s">
        <v>41</v>
      </c>
      <c r="O373" s="404"/>
    </row>
    <row r="374" spans="1:15" x14ac:dyDescent="0.25">
      <c r="A374" s="105" t="s">
        <v>320</v>
      </c>
      <c r="B374" s="109"/>
      <c r="C374" s="59"/>
      <c r="D374" s="77"/>
      <c r="E374" s="77"/>
      <c r="F374" s="77"/>
      <c r="G374" s="70">
        <v>1</v>
      </c>
      <c r="H374" s="59"/>
      <c r="I374" s="59"/>
      <c r="J374" s="77"/>
      <c r="K374" s="61"/>
      <c r="M374" s="405"/>
      <c r="N374" s="25"/>
      <c r="O374" s="404"/>
    </row>
    <row r="375" spans="1:15" ht="25.5" x14ac:dyDescent="0.25">
      <c r="A375" s="97" t="s">
        <v>80</v>
      </c>
      <c r="B375" s="108" t="s">
        <v>1</v>
      </c>
      <c r="C375" s="54"/>
      <c r="D375" s="54"/>
      <c r="E375" s="54"/>
      <c r="F375" s="54"/>
      <c r="G375" s="117">
        <f>G378+G377+G376</f>
        <v>3</v>
      </c>
      <c r="H375" s="54"/>
      <c r="I375" s="54"/>
      <c r="J375" s="54"/>
      <c r="K375" s="1"/>
      <c r="M375" s="414">
        <v>3</v>
      </c>
      <c r="N375" s="116">
        <f>M375-G375</f>
        <v>0</v>
      </c>
      <c r="O375" s="415">
        <f>N375/M375</f>
        <v>0</v>
      </c>
    </row>
    <row r="376" spans="1:15" x14ac:dyDescent="0.25">
      <c r="A376" s="105" t="s">
        <v>108</v>
      </c>
      <c r="B376" s="109"/>
      <c r="C376" s="59"/>
      <c r="D376" s="77"/>
      <c r="E376" s="77"/>
      <c r="F376" s="77"/>
      <c r="G376" s="70">
        <v>1</v>
      </c>
      <c r="H376" s="59"/>
      <c r="I376" s="59"/>
      <c r="J376" s="77"/>
      <c r="K376" s="61"/>
      <c r="M376" s="405"/>
      <c r="N376" s="25" t="s">
        <v>41</v>
      </c>
      <c r="O376" s="404"/>
    </row>
    <row r="377" spans="1:15" x14ac:dyDescent="0.25">
      <c r="A377" s="126" t="s">
        <v>323</v>
      </c>
      <c r="B377" s="127"/>
      <c r="C377" s="69"/>
      <c r="D377" s="128"/>
      <c r="E377" s="128"/>
      <c r="F377" s="128"/>
      <c r="G377" s="70">
        <v>1</v>
      </c>
      <c r="H377" s="69"/>
      <c r="I377" s="69"/>
      <c r="J377" s="128"/>
      <c r="K377" s="71"/>
      <c r="M377" s="405"/>
      <c r="N377" s="25" t="s">
        <v>41</v>
      </c>
      <c r="O377" s="404"/>
    </row>
    <row r="378" spans="1:15" x14ac:dyDescent="0.25">
      <c r="A378" s="105" t="s">
        <v>320</v>
      </c>
      <c r="B378" s="109"/>
      <c r="C378" s="59"/>
      <c r="D378" s="77"/>
      <c r="E378" s="77"/>
      <c r="F378" s="77"/>
      <c r="G378" s="70">
        <v>1</v>
      </c>
      <c r="H378" s="59"/>
      <c r="I378" s="59"/>
      <c r="J378" s="77"/>
      <c r="K378" s="61"/>
      <c r="M378" s="405"/>
      <c r="N378" s="25"/>
      <c r="O378" s="404"/>
    </row>
    <row r="379" spans="1:15" ht="25.5" x14ac:dyDescent="0.25">
      <c r="A379" s="97" t="s">
        <v>81</v>
      </c>
      <c r="B379" s="108" t="s">
        <v>1</v>
      </c>
      <c r="C379" s="54"/>
      <c r="D379" s="54"/>
      <c r="E379" s="54"/>
      <c r="F379" s="54"/>
      <c r="G379" s="117">
        <f>G382+G381+G380</f>
        <v>5</v>
      </c>
      <c r="H379" s="54"/>
      <c r="I379" s="54"/>
      <c r="J379" s="54"/>
      <c r="K379" s="1"/>
      <c r="M379" s="414">
        <v>5</v>
      </c>
      <c r="N379" s="116">
        <f>M379-G379</f>
        <v>0</v>
      </c>
      <c r="O379" s="415">
        <f>N379/M379</f>
        <v>0</v>
      </c>
    </row>
    <row r="380" spans="1:15" x14ac:dyDescent="0.25">
      <c r="A380" s="105" t="s">
        <v>108</v>
      </c>
      <c r="B380" s="109"/>
      <c r="C380" s="59"/>
      <c r="D380" s="77"/>
      <c r="E380" s="77"/>
      <c r="F380" s="77"/>
      <c r="G380" s="70">
        <v>1</v>
      </c>
      <c r="H380" s="59"/>
      <c r="I380" s="59"/>
      <c r="J380" s="77"/>
      <c r="K380" s="61"/>
      <c r="M380" s="405"/>
      <c r="N380" s="25" t="s">
        <v>41</v>
      </c>
      <c r="O380" s="404"/>
    </row>
    <row r="381" spans="1:15" x14ac:dyDescent="0.25">
      <c r="A381" s="126" t="s">
        <v>323</v>
      </c>
      <c r="B381" s="127"/>
      <c r="C381" s="69"/>
      <c r="D381" s="128"/>
      <c r="E381" s="128"/>
      <c r="F381" s="128"/>
      <c r="G381" s="70">
        <v>1</v>
      </c>
      <c r="H381" s="69"/>
      <c r="I381" s="69"/>
      <c r="J381" s="128"/>
      <c r="K381" s="71"/>
      <c r="M381" s="405"/>
      <c r="N381" s="25" t="s">
        <v>41</v>
      </c>
      <c r="O381" s="404"/>
    </row>
    <row r="382" spans="1:15" x14ac:dyDescent="0.25">
      <c r="A382" s="105" t="s">
        <v>320</v>
      </c>
      <c r="B382" s="109"/>
      <c r="C382" s="59"/>
      <c r="D382" s="77"/>
      <c r="E382" s="77"/>
      <c r="F382" s="77"/>
      <c r="G382" s="70">
        <v>3</v>
      </c>
      <c r="H382" s="59"/>
      <c r="I382" s="59"/>
      <c r="J382" s="77"/>
      <c r="K382" s="61"/>
      <c r="M382" s="405"/>
      <c r="N382" s="25"/>
      <c r="O382" s="404"/>
    </row>
    <row r="383" spans="1:15" x14ac:dyDescent="0.25">
      <c r="A383" s="97" t="s">
        <v>82</v>
      </c>
      <c r="B383" s="108" t="s">
        <v>1</v>
      </c>
      <c r="C383" s="54"/>
      <c r="D383" s="54"/>
      <c r="E383" s="54"/>
      <c r="F383" s="54"/>
      <c r="G383" s="117">
        <f>G386+G385+G384</f>
        <v>3</v>
      </c>
      <c r="H383" s="54"/>
      <c r="I383" s="54"/>
      <c r="J383" s="54"/>
      <c r="K383" s="1"/>
      <c r="M383" s="414">
        <v>3</v>
      </c>
      <c r="N383" s="116">
        <f>M383-G383</f>
        <v>0</v>
      </c>
      <c r="O383" s="415">
        <f>N383/M383</f>
        <v>0</v>
      </c>
    </row>
    <row r="384" spans="1:15" x14ac:dyDescent="0.25">
      <c r="A384" s="105" t="s">
        <v>108</v>
      </c>
      <c r="B384" s="109"/>
      <c r="C384" s="59"/>
      <c r="D384" s="77"/>
      <c r="E384" s="77"/>
      <c r="F384" s="77"/>
      <c r="G384" s="70">
        <v>1</v>
      </c>
      <c r="H384" s="59"/>
      <c r="I384" s="59"/>
      <c r="J384" s="77"/>
      <c r="K384" s="61"/>
      <c r="M384" s="405"/>
      <c r="N384" s="25" t="s">
        <v>41</v>
      </c>
      <c r="O384" s="404"/>
    </row>
    <row r="385" spans="1:15" x14ac:dyDescent="0.25">
      <c r="A385" s="126" t="s">
        <v>323</v>
      </c>
      <c r="B385" s="127"/>
      <c r="C385" s="69"/>
      <c r="D385" s="128"/>
      <c r="E385" s="128"/>
      <c r="F385" s="128"/>
      <c r="G385" s="70">
        <v>1</v>
      </c>
      <c r="H385" s="69"/>
      <c r="I385" s="69"/>
      <c r="J385" s="128"/>
      <c r="K385" s="71"/>
      <c r="M385" s="405"/>
      <c r="N385" s="25" t="s">
        <v>41</v>
      </c>
      <c r="O385" s="404"/>
    </row>
    <row r="386" spans="1:15" x14ac:dyDescent="0.25">
      <c r="A386" s="105" t="s">
        <v>320</v>
      </c>
      <c r="B386" s="109"/>
      <c r="C386" s="59"/>
      <c r="D386" s="77"/>
      <c r="E386" s="77"/>
      <c r="F386" s="77"/>
      <c r="G386" s="70">
        <v>1</v>
      </c>
      <c r="H386" s="59"/>
      <c r="I386" s="59"/>
      <c r="J386" s="77"/>
      <c r="K386" s="61"/>
      <c r="M386" s="405"/>
      <c r="N386" s="25"/>
      <c r="O386" s="404"/>
    </row>
    <row r="387" spans="1:15" x14ac:dyDescent="0.25">
      <c r="A387" s="97" t="s">
        <v>94</v>
      </c>
      <c r="B387" s="108" t="s">
        <v>1</v>
      </c>
      <c r="C387" s="54"/>
      <c r="D387" s="54"/>
      <c r="E387" s="54"/>
      <c r="F387" s="54"/>
      <c r="G387" s="117">
        <f>G390+G389+G388</f>
        <v>2</v>
      </c>
      <c r="H387" s="54"/>
      <c r="I387" s="54"/>
      <c r="J387" s="54"/>
      <c r="K387" s="1"/>
      <c r="M387" s="414">
        <v>2</v>
      </c>
      <c r="N387" s="116">
        <f>M387-G387</f>
        <v>0</v>
      </c>
      <c r="O387" s="415">
        <f>N387/M387</f>
        <v>0</v>
      </c>
    </row>
    <row r="388" spans="1:15" x14ac:dyDescent="0.25">
      <c r="A388" s="105" t="s">
        <v>108</v>
      </c>
      <c r="B388" s="109"/>
      <c r="C388" s="59"/>
      <c r="D388" s="77"/>
      <c r="E388" s="77"/>
      <c r="F388" s="77"/>
      <c r="G388" s="70"/>
      <c r="H388" s="59"/>
      <c r="I388" s="59"/>
      <c r="J388" s="77"/>
      <c r="K388" s="61"/>
      <c r="M388" s="405"/>
      <c r="N388" s="25" t="s">
        <v>41</v>
      </c>
      <c r="O388" s="404"/>
    </row>
    <row r="389" spans="1:15" x14ac:dyDescent="0.25">
      <c r="A389" s="126" t="s">
        <v>323</v>
      </c>
      <c r="B389" s="127"/>
      <c r="C389" s="69"/>
      <c r="D389" s="128"/>
      <c r="E389" s="128"/>
      <c r="F389" s="128"/>
      <c r="G389" s="70"/>
      <c r="H389" s="69"/>
      <c r="I389" s="69"/>
      <c r="J389" s="128"/>
      <c r="K389" s="71"/>
      <c r="M389" s="405"/>
      <c r="N389" s="25" t="s">
        <v>41</v>
      </c>
      <c r="O389" s="404"/>
    </row>
    <row r="390" spans="1:15" x14ac:dyDescent="0.25">
      <c r="A390" s="105" t="s">
        <v>320</v>
      </c>
      <c r="B390" s="109"/>
      <c r="C390" s="59"/>
      <c r="D390" s="77"/>
      <c r="E390" s="77"/>
      <c r="F390" s="77"/>
      <c r="G390" s="70">
        <v>2</v>
      </c>
      <c r="H390" s="59"/>
      <c r="I390" s="59"/>
      <c r="J390" s="77"/>
      <c r="K390" s="61"/>
      <c r="M390" s="405"/>
      <c r="N390" s="25"/>
      <c r="O390" s="404"/>
    </row>
    <row r="391" spans="1:15" ht="25.5" x14ac:dyDescent="0.25">
      <c r="A391" s="97" t="s">
        <v>83</v>
      </c>
      <c r="B391" s="108" t="s">
        <v>1</v>
      </c>
      <c r="C391" s="54"/>
      <c r="D391" s="54"/>
      <c r="E391" s="54"/>
      <c r="F391" s="54"/>
      <c r="G391" s="117">
        <f>G394+G393+G392</f>
        <v>4</v>
      </c>
      <c r="H391" s="54"/>
      <c r="I391" s="54"/>
      <c r="J391" s="54"/>
      <c r="K391" s="1"/>
      <c r="M391" s="414">
        <v>4</v>
      </c>
      <c r="N391" s="116">
        <f>M391-G391</f>
        <v>0</v>
      </c>
      <c r="O391" s="415">
        <f>N391/M391</f>
        <v>0</v>
      </c>
    </row>
    <row r="392" spans="1:15" x14ac:dyDescent="0.25">
      <c r="A392" s="105" t="s">
        <v>108</v>
      </c>
      <c r="B392" s="109"/>
      <c r="C392" s="59"/>
      <c r="D392" s="77"/>
      <c r="E392" s="77"/>
      <c r="F392" s="77"/>
      <c r="G392" s="70"/>
      <c r="H392" s="59"/>
      <c r="I392" s="59"/>
      <c r="J392" s="77"/>
      <c r="K392" s="61"/>
      <c r="M392" s="405"/>
      <c r="N392" s="25" t="s">
        <v>41</v>
      </c>
      <c r="O392" s="404"/>
    </row>
    <row r="393" spans="1:15" x14ac:dyDescent="0.25">
      <c r="A393" s="126" t="s">
        <v>323</v>
      </c>
      <c r="B393" s="127"/>
      <c r="C393" s="69"/>
      <c r="D393" s="128"/>
      <c r="E393" s="128"/>
      <c r="F393" s="128"/>
      <c r="G393" s="70">
        <v>1</v>
      </c>
      <c r="H393" s="69"/>
      <c r="I393" s="69"/>
      <c r="J393" s="128"/>
      <c r="K393" s="71"/>
      <c r="M393" s="405"/>
      <c r="N393" s="25" t="s">
        <v>41</v>
      </c>
      <c r="O393" s="404"/>
    </row>
    <row r="394" spans="1:15" x14ac:dyDescent="0.25">
      <c r="A394" s="105" t="s">
        <v>320</v>
      </c>
      <c r="B394" s="109"/>
      <c r="C394" s="59"/>
      <c r="D394" s="77"/>
      <c r="E394" s="77"/>
      <c r="F394" s="77"/>
      <c r="G394" s="70">
        <v>3</v>
      </c>
      <c r="H394" s="59"/>
      <c r="I394" s="59"/>
      <c r="J394" s="77"/>
      <c r="K394" s="61"/>
      <c r="M394" s="405"/>
      <c r="N394" s="25"/>
      <c r="O394" s="404"/>
    </row>
    <row r="395" spans="1:15" x14ac:dyDescent="0.25">
      <c r="A395" s="97" t="s">
        <v>84</v>
      </c>
      <c r="B395" s="108" t="s">
        <v>1</v>
      </c>
      <c r="C395" s="54"/>
      <c r="D395" s="54"/>
      <c r="E395" s="54"/>
      <c r="F395" s="54"/>
      <c r="G395" s="117">
        <f>G398+G397+G396</f>
        <v>3</v>
      </c>
      <c r="H395" s="54"/>
      <c r="I395" s="54"/>
      <c r="J395" s="54"/>
      <c r="K395" s="1"/>
      <c r="M395" s="414">
        <v>3</v>
      </c>
      <c r="N395" s="116">
        <f>M395-G395</f>
        <v>0</v>
      </c>
      <c r="O395" s="415">
        <f>N395/M395</f>
        <v>0</v>
      </c>
    </row>
    <row r="396" spans="1:15" x14ac:dyDescent="0.25">
      <c r="A396" s="105" t="s">
        <v>108</v>
      </c>
      <c r="B396" s="109"/>
      <c r="C396" s="59"/>
      <c r="D396" s="77"/>
      <c r="E396" s="77"/>
      <c r="F396" s="77"/>
      <c r="G396" s="70">
        <v>1</v>
      </c>
      <c r="H396" s="59"/>
      <c r="I396" s="59"/>
      <c r="J396" s="77"/>
      <c r="K396" s="61"/>
      <c r="M396" s="405"/>
      <c r="N396" s="25" t="s">
        <v>41</v>
      </c>
      <c r="O396" s="404"/>
    </row>
    <row r="397" spans="1:15" x14ac:dyDescent="0.25">
      <c r="A397" s="126" t="s">
        <v>323</v>
      </c>
      <c r="B397" s="127"/>
      <c r="C397" s="69"/>
      <c r="D397" s="128"/>
      <c r="E397" s="128"/>
      <c r="F397" s="128"/>
      <c r="G397" s="70">
        <v>1</v>
      </c>
      <c r="H397" s="69"/>
      <c r="I397" s="69"/>
      <c r="J397" s="128"/>
      <c r="K397" s="71"/>
      <c r="M397" s="405"/>
      <c r="N397" s="25" t="s">
        <v>41</v>
      </c>
      <c r="O397" s="404"/>
    </row>
    <row r="398" spans="1:15" x14ac:dyDescent="0.25">
      <c r="A398" s="105" t="s">
        <v>320</v>
      </c>
      <c r="B398" s="109"/>
      <c r="C398" s="59"/>
      <c r="D398" s="77"/>
      <c r="E398" s="77"/>
      <c r="F398" s="77"/>
      <c r="G398" s="70">
        <v>1</v>
      </c>
      <c r="H398" s="59"/>
      <c r="I398" s="59"/>
      <c r="J398" s="77"/>
      <c r="K398" s="61"/>
      <c r="M398" s="405"/>
      <c r="N398" s="25"/>
      <c r="O398" s="404"/>
    </row>
    <row r="399" spans="1:15" ht="27" customHeight="1" x14ac:dyDescent="0.25">
      <c r="A399" s="97" t="s">
        <v>85</v>
      </c>
      <c r="B399" s="108" t="s">
        <v>1</v>
      </c>
      <c r="C399" s="54"/>
      <c r="D399" s="54"/>
      <c r="E399" s="54"/>
      <c r="F399" s="54"/>
      <c r="G399" s="117">
        <f>G402+G401+G400</f>
        <v>5</v>
      </c>
      <c r="H399" s="54"/>
      <c r="I399" s="54"/>
      <c r="J399" s="54"/>
      <c r="K399" s="1"/>
      <c r="M399" s="414">
        <v>5</v>
      </c>
      <c r="N399" s="116">
        <f>M399-G399</f>
        <v>0</v>
      </c>
      <c r="O399" s="415">
        <f>N399/M399</f>
        <v>0</v>
      </c>
    </row>
    <row r="400" spans="1:15" x14ac:dyDescent="0.25">
      <c r="A400" s="105" t="s">
        <v>108</v>
      </c>
      <c r="B400" s="109"/>
      <c r="C400" s="59"/>
      <c r="D400" s="77"/>
      <c r="E400" s="77"/>
      <c r="F400" s="77"/>
      <c r="G400" s="70">
        <v>1</v>
      </c>
      <c r="H400" s="59"/>
      <c r="I400" s="59"/>
      <c r="J400" s="77"/>
      <c r="K400" s="61"/>
      <c r="M400" s="405"/>
      <c r="N400" s="25" t="s">
        <v>41</v>
      </c>
      <c r="O400" s="404"/>
    </row>
    <row r="401" spans="1:15" x14ac:dyDescent="0.25">
      <c r="A401" s="126" t="s">
        <v>323</v>
      </c>
      <c r="B401" s="127"/>
      <c r="C401" s="69"/>
      <c r="D401" s="128"/>
      <c r="E401" s="128"/>
      <c r="F401" s="128"/>
      <c r="G401" s="70">
        <v>1</v>
      </c>
      <c r="H401" s="69"/>
      <c r="I401" s="69"/>
      <c r="J401" s="128"/>
      <c r="K401" s="71"/>
      <c r="M401" s="405"/>
      <c r="N401" s="25" t="s">
        <v>41</v>
      </c>
      <c r="O401" s="404"/>
    </row>
    <row r="402" spans="1:15" x14ac:dyDescent="0.25">
      <c r="A402" s="105" t="s">
        <v>320</v>
      </c>
      <c r="B402" s="109"/>
      <c r="C402" s="59"/>
      <c r="D402" s="77"/>
      <c r="E402" s="77"/>
      <c r="F402" s="77"/>
      <c r="G402" s="70">
        <v>3</v>
      </c>
      <c r="H402" s="59"/>
      <c r="I402" s="59"/>
      <c r="J402" s="77"/>
      <c r="K402" s="61"/>
      <c r="M402" s="405"/>
      <c r="N402" s="25"/>
      <c r="O402" s="404"/>
    </row>
    <row r="403" spans="1:15" ht="32.25" customHeight="1" x14ac:dyDescent="0.25">
      <c r="A403" s="97" t="s">
        <v>86</v>
      </c>
      <c r="B403" s="108" t="s">
        <v>1</v>
      </c>
      <c r="C403" s="54"/>
      <c r="D403" s="54"/>
      <c r="E403" s="54"/>
      <c r="F403" s="54"/>
      <c r="G403" s="117">
        <f>G406+G405+G404</f>
        <v>2</v>
      </c>
      <c r="H403" s="54"/>
      <c r="I403" s="54"/>
      <c r="J403" s="54"/>
      <c r="K403" s="1"/>
      <c r="M403" s="414">
        <v>2</v>
      </c>
      <c r="N403" s="116">
        <f>M403-G403</f>
        <v>0</v>
      </c>
      <c r="O403" s="415">
        <f>N403/M403</f>
        <v>0</v>
      </c>
    </row>
    <row r="404" spans="1:15" x14ac:dyDescent="0.25">
      <c r="A404" s="105" t="s">
        <v>108</v>
      </c>
      <c r="B404" s="109"/>
      <c r="C404" s="59"/>
      <c r="D404" s="77"/>
      <c r="E404" s="77"/>
      <c r="F404" s="77"/>
      <c r="G404" s="70">
        <v>2</v>
      </c>
      <c r="H404" s="59"/>
      <c r="I404" s="59"/>
      <c r="J404" s="77"/>
      <c r="K404" s="61"/>
      <c r="M404" s="405"/>
      <c r="N404" s="25" t="s">
        <v>41</v>
      </c>
      <c r="O404" s="404"/>
    </row>
    <row r="405" spans="1:15" x14ac:dyDescent="0.25">
      <c r="A405" s="126" t="s">
        <v>323</v>
      </c>
      <c r="B405" s="127"/>
      <c r="C405" s="69"/>
      <c r="D405" s="128"/>
      <c r="E405" s="128"/>
      <c r="F405" s="128"/>
      <c r="G405" s="70"/>
      <c r="H405" s="69"/>
      <c r="I405" s="69"/>
      <c r="J405" s="128"/>
      <c r="K405" s="71"/>
      <c r="M405" s="405"/>
      <c r="N405" s="25" t="s">
        <v>41</v>
      </c>
      <c r="O405" s="404"/>
    </row>
    <row r="406" spans="1:15" x14ac:dyDescent="0.25">
      <c r="A406" s="105" t="s">
        <v>320</v>
      </c>
      <c r="B406" s="109"/>
      <c r="C406" s="59"/>
      <c r="D406" s="77"/>
      <c r="E406" s="77"/>
      <c r="F406" s="77"/>
      <c r="G406" s="70"/>
      <c r="H406" s="59"/>
      <c r="I406" s="59"/>
      <c r="J406" s="77"/>
      <c r="K406" s="61"/>
      <c r="M406" s="405"/>
      <c r="N406" s="25"/>
      <c r="O406" s="404"/>
    </row>
    <row r="407" spans="1:15" ht="39.75" customHeight="1" x14ac:dyDescent="0.25">
      <c r="A407" s="97" t="s">
        <v>87</v>
      </c>
      <c r="B407" s="108" t="s">
        <v>1</v>
      </c>
      <c r="C407" s="54"/>
      <c r="D407" s="54"/>
      <c r="E407" s="54"/>
      <c r="F407" s="54"/>
      <c r="G407" s="117">
        <f>G410+G409+G408</f>
        <v>1</v>
      </c>
      <c r="H407" s="54"/>
      <c r="I407" s="54"/>
      <c r="J407" s="54"/>
      <c r="K407" s="1"/>
      <c r="M407" s="414">
        <v>1</v>
      </c>
      <c r="N407" s="116">
        <f>M407-G407</f>
        <v>0</v>
      </c>
      <c r="O407" s="415">
        <f>N407/M407</f>
        <v>0</v>
      </c>
    </row>
    <row r="408" spans="1:15" x14ac:dyDescent="0.25">
      <c r="A408" s="105" t="s">
        <v>108</v>
      </c>
      <c r="B408" s="109"/>
      <c r="C408" s="59"/>
      <c r="D408" s="77"/>
      <c r="E408" s="77"/>
      <c r="F408" s="77"/>
      <c r="G408" s="70">
        <v>1</v>
      </c>
      <c r="H408" s="59"/>
      <c r="I408" s="59"/>
      <c r="J408" s="77"/>
      <c r="K408" s="61"/>
      <c r="M408" s="405"/>
      <c r="N408" s="25" t="s">
        <v>41</v>
      </c>
      <c r="O408" s="404"/>
    </row>
    <row r="409" spans="1:15" x14ac:dyDescent="0.25">
      <c r="A409" s="126" t="s">
        <v>323</v>
      </c>
      <c r="B409" s="127"/>
      <c r="C409" s="69"/>
      <c r="D409" s="128"/>
      <c r="E409" s="128"/>
      <c r="F409" s="128"/>
      <c r="G409" s="70"/>
      <c r="H409" s="69"/>
      <c r="I409" s="69"/>
      <c r="J409" s="128"/>
      <c r="K409" s="71"/>
      <c r="M409" s="405"/>
      <c r="N409" s="25" t="s">
        <v>41</v>
      </c>
      <c r="O409" s="404"/>
    </row>
    <row r="410" spans="1:15" x14ac:dyDescent="0.25">
      <c r="A410" s="105" t="s">
        <v>320</v>
      </c>
      <c r="B410" s="109"/>
      <c r="C410" s="59"/>
      <c r="D410" s="77"/>
      <c r="E410" s="77"/>
      <c r="F410" s="77"/>
      <c r="G410" s="70"/>
      <c r="H410" s="59"/>
      <c r="I410" s="59"/>
      <c r="J410" s="77"/>
      <c r="K410" s="61"/>
      <c r="M410" s="405"/>
      <c r="N410" s="25"/>
      <c r="O410" s="404"/>
    </row>
    <row r="411" spans="1:15" ht="29.25" customHeight="1" x14ac:dyDescent="0.25">
      <c r="A411" s="97" t="s">
        <v>88</v>
      </c>
      <c r="B411" s="108" t="s">
        <v>1</v>
      </c>
      <c r="C411" s="54"/>
      <c r="D411" s="54"/>
      <c r="E411" s="54"/>
      <c r="F411" s="54"/>
      <c r="G411" s="117">
        <f>G414+G413+G412</f>
        <v>1</v>
      </c>
      <c r="H411" s="54"/>
      <c r="I411" s="54"/>
      <c r="J411" s="54"/>
      <c r="K411" s="1"/>
      <c r="M411" s="414">
        <v>1</v>
      </c>
      <c r="N411" s="116">
        <f>M411-G411</f>
        <v>0</v>
      </c>
      <c r="O411" s="415">
        <f>N411/M411</f>
        <v>0</v>
      </c>
    </row>
    <row r="412" spans="1:15" x14ac:dyDescent="0.25">
      <c r="A412" s="105" t="s">
        <v>108</v>
      </c>
      <c r="B412" s="109"/>
      <c r="C412" s="59"/>
      <c r="D412" s="77"/>
      <c r="E412" s="77"/>
      <c r="F412" s="77"/>
      <c r="G412" s="70">
        <v>1</v>
      </c>
      <c r="H412" s="59"/>
      <c r="I412" s="59"/>
      <c r="J412" s="77"/>
      <c r="K412" s="61"/>
      <c r="M412" s="405"/>
      <c r="N412" s="25" t="s">
        <v>41</v>
      </c>
      <c r="O412" s="404"/>
    </row>
    <row r="413" spans="1:15" x14ac:dyDescent="0.25">
      <c r="A413" s="126" t="s">
        <v>323</v>
      </c>
      <c r="B413" s="127"/>
      <c r="C413" s="69"/>
      <c r="D413" s="128"/>
      <c r="E413" s="128"/>
      <c r="F413" s="128"/>
      <c r="G413" s="70"/>
      <c r="H413" s="69"/>
      <c r="I413" s="69"/>
      <c r="J413" s="128"/>
      <c r="K413" s="71"/>
      <c r="M413" s="405"/>
      <c r="N413" s="25" t="s">
        <v>41</v>
      </c>
      <c r="O413" s="404"/>
    </row>
    <row r="414" spans="1:15" x14ac:dyDescent="0.25">
      <c r="A414" s="105" t="s">
        <v>320</v>
      </c>
      <c r="B414" s="109"/>
      <c r="C414" s="59"/>
      <c r="D414" s="77"/>
      <c r="E414" s="77"/>
      <c r="F414" s="77"/>
      <c r="G414" s="70"/>
      <c r="H414" s="59"/>
      <c r="I414" s="59"/>
      <c r="J414" s="77"/>
      <c r="K414" s="61"/>
      <c r="M414" s="405"/>
      <c r="N414" s="25"/>
      <c r="O414" s="404"/>
    </row>
    <row r="415" spans="1:15" x14ac:dyDescent="0.25">
      <c r="A415" s="97" t="s">
        <v>89</v>
      </c>
      <c r="B415" s="108" t="s">
        <v>1</v>
      </c>
      <c r="C415" s="54"/>
      <c r="D415" s="54"/>
      <c r="E415" s="54"/>
      <c r="F415" s="54"/>
      <c r="G415" s="117">
        <f>G418+G417+G416</f>
        <v>1</v>
      </c>
      <c r="H415" s="54"/>
      <c r="I415" s="54"/>
      <c r="J415" s="54"/>
      <c r="K415" s="1"/>
      <c r="M415" s="414">
        <v>1</v>
      </c>
      <c r="N415" s="116">
        <f>M415-G415</f>
        <v>0</v>
      </c>
      <c r="O415" s="415">
        <f>N415/M415</f>
        <v>0</v>
      </c>
    </row>
    <row r="416" spans="1:15" x14ac:dyDescent="0.25">
      <c r="A416" s="105" t="s">
        <v>108</v>
      </c>
      <c r="B416" s="109"/>
      <c r="C416" s="59"/>
      <c r="D416" s="77"/>
      <c r="E416" s="77"/>
      <c r="F416" s="77"/>
      <c r="G416" s="70">
        <v>1</v>
      </c>
      <c r="H416" s="59"/>
      <c r="I416" s="59"/>
      <c r="J416" s="77"/>
      <c r="K416" s="61"/>
      <c r="M416" s="405"/>
      <c r="N416" s="25" t="s">
        <v>41</v>
      </c>
      <c r="O416" s="404"/>
    </row>
    <row r="417" spans="1:15" x14ac:dyDescent="0.25">
      <c r="A417" s="126" t="s">
        <v>323</v>
      </c>
      <c r="B417" s="127"/>
      <c r="C417" s="69"/>
      <c r="D417" s="128"/>
      <c r="E417" s="128"/>
      <c r="F417" s="128"/>
      <c r="G417" s="70"/>
      <c r="H417" s="69"/>
      <c r="I417" s="69"/>
      <c r="J417" s="128"/>
      <c r="K417" s="71"/>
      <c r="M417" s="405"/>
      <c r="N417" s="25" t="s">
        <v>41</v>
      </c>
      <c r="O417" s="404"/>
    </row>
    <row r="418" spans="1:15" x14ac:dyDescent="0.25">
      <c r="A418" s="105" t="s">
        <v>320</v>
      </c>
      <c r="B418" s="109"/>
      <c r="C418" s="59"/>
      <c r="D418" s="77"/>
      <c r="E418" s="77"/>
      <c r="F418" s="77"/>
      <c r="G418" s="70"/>
      <c r="H418" s="59"/>
      <c r="I418" s="59"/>
      <c r="J418" s="77"/>
      <c r="K418" s="61"/>
      <c r="M418" s="405"/>
      <c r="N418" s="25"/>
      <c r="O418" s="404"/>
    </row>
    <row r="419" spans="1:15" ht="25.5" customHeight="1" x14ac:dyDescent="0.25">
      <c r="A419" s="97" t="s">
        <v>90</v>
      </c>
      <c r="B419" s="108" t="s">
        <v>1</v>
      </c>
      <c r="C419" s="54"/>
      <c r="D419" s="54"/>
      <c r="E419" s="54"/>
      <c r="F419" s="54"/>
      <c r="G419" s="117">
        <f>G422+G421+G420</f>
        <v>1</v>
      </c>
      <c r="H419" s="54"/>
      <c r="I419" s="54"/>
      <c r="J419" s="54"/>
      <c r="K419" s="1"/>
      <c r="M419" s="414">
        <v>1</v>
      </c>
      <c r="N419" s="116">
        <f>M419-G419</f>
        <v>0</v>
      </c>
      <c r="O419" s="415">
        <f>N419/M419</f>
        <v>0</v>
      </c>
    </row>
    <row r="420" spans="1:15" x14ac:dyDescent="0.25">
      <c r="A420" s="105" t="s">
        <v>108</v>
      </c>
      <c r="B420" s="109"/>
      <c r="C420" s="59"/>
      <c r="D420" s="77"/>
      <c r="E420" s="77"/>
      <c r="F420" s="77"/>
      <c r="G420" s="70">
        <v>1</v>
      </c>
      <c r="H420" s="59"/>
      <c r="I420" s="59"/>
      <c r="J420" s="77"/>
      <c r="K420" s="61"/>
      <c r="M420" s="405"/>
      <c r="N420" s="25" t="s">
        <v>41</v>
      </c>
      <c r="O420" s="404"/>
    </row>
    <row r="421" spans="1:15" x14ac:dyDescent="0.25">
      <c r="A421" s="126" t="s">
        <v>323</v>
      </c>
      <c r="B421" s="127"/>
      <c r="C421" s="69"/>
      <c r="D421" s="128"/>
      <c r="E421" s="128"/>
      <c r="F421" s="128"/>
      <c r="G421" s="70"/>
      <c r="H421" s="69"/>
      <c r="I421" s="69"/>
      <c r="J421" s="128"/>
      <c r="K421" s="71"/>
      <c r="M421" s="405"/>
      <c r="N421" s="25" t="s">
        <v>41</v>
      </c>
      <c r="O421" s="404"/>
    </row>
    <row r="422" spans="1:15" x14ac:dyDescent="0.25">
      <c r="A422" s="105" t="s">
        <v>320</v>
      </c>
      <c r="B422" s="109"/>
      <c r="C422" s="59"/>
      <c r="D422" s="77"/>
      <c r="E422" s="77"/>
      <c r="F422" s="77"/>
      <c r="G422" s="70"/>
      <c r="H422" s="59"/>
      <c r="I422" s="59"/>
      <c r="J422" s="77"/>
      <c r="K422" s="61"/>
      <c r="M422" s="405"/>
      <c r="N422" s="25"/>
      <c r="O422" s="404"/>
    </row>
    <row r="423" spans="1:15" ht="36.75" customHeight="1" x14ac:dyDescent="0.25">
      <c r="A423" s="97" t="s">
        <v>91</v>
      </c>
      <c r="B423" s="108" t="s">
        <v>1</v>
      </c>
      <c r="C423" s="54"/>
      <c r="D423" s="54"/>
      <c r="E423" s="54"/>
      <c r="F423" s="54"/>
      <c r="G423" s="117">
        <f>G426+G425+G424</f>
        <v>1</v>
      </c>
      <c r="H423" s="54"/>
      <c r="I423" s="54"/>
      <c r="J423" s="54"/>
      <c r="K423" s="1"/>
      <c r="M423" s="414">
        <v>1</v>
      </c>
      <c r="N423" s="116">
        <f>M423-G423</f>
        <v>0</v>
      </c>
      <c r="O423" s="415">
        <f>N423/M423</f>
        <v>0</v>
      </c>
    </row>
    <row r="424" spans="1:15" x14ac:dyDescent="0.25">
      <c r="A424" s="105" t="s">
        <v>108</v>
      </c>
      <c r="B424" s="109"/>
      <c r="C424" s="59"/>
      <c r="D424" s="77"/>
      <c r="E424" s="77"/>
      <c r="F424" s="77"/>
      <c r="G424" s="70">
        <v>1</v>
      </c>
      <c r="H424" s="59"/>
      <c r="I424" s="59"/>
      <c r="J424" s="77"/>
      <c r="K424" s="61"/>
      <c r="M424" s="405"/>
      <c r="N424" s="25" t="s">
        <v>41</v>
      </c>
      <c r="O424" s="404"/>
    </row>
    <row r="425" spans="1:15" x14ac:dyDescent="0.25">
      <c r="A425" s="126" t="s">
        <v>323</v>
      </c>
      <c r="B425" s="127"/>
      <c r="C425" s="69"/>
      <c r="D425" s="128"/>
      <c r="E425" s="128"/>
      <c r="F425" s="128"/>
      <c r="G425" s="70"/>
      <c r="H425" s="69"/>
      <c r="I425" s="69"/>
      <c r="J425" s="128"/>
      <c r="K425" s="71"/>
      <c r="M425" s="405"/>
      <c r="N425" s="25" t="s">
        <v>41</v>
      </c>
      <c r="O425" s="404"/>
    </row>
    <row r="426" spans="1:15" x14ac:dyDescent="0.25">
      <c r="A426" s="105" t="s">
        <v>320</v>
      </c>
      <c r="B426" s="109"/>
      <c r="C426" s="59"/>
      <c r="D426" s="77"/>
      <c r="E426" s="77"/>
      <c r="F426" s="77"/>
      <c r="G426" s="70"/>
      <c r="H426" s="59"/>
      <c r="I426" s="59"/>
      <c r="J426" s="77"/>
      <c r="K426" s="61"/>
      <c r="M426" s="405"/>
      <c r="N426" s="25"/>
      <c r="O426" s="404"/>
    </row>
    <row r="427" spans="1:15" ht="25.5" x14ac:dyDescent="0.25">
      <c r="A427" s="97" t="s">
        <v>92</v>
      </c>
      <c r="B427" s="108" t="s">
        <v>1</v>
      </c>
      <c r="C427" s="54"/>
      <c r="D427" s="54"/>
      <c r="E427" s="54"/>
      <c r="F427" s="54"/>
      <c r="G427" s="117">
        <f>SUM(G428:G435)</f>
        <v>9</v>
      </c>
      <c r="H427" s="54"/>
      <c r="I427" s="54"/>
      <c r="J427" s="54"/>
      <c r="K427" s="1"/>
      <c r="M427" s="414">
        <f>M428+M432</f>
        <v>9</v>
      </c>
      <c r="N427" s="116">
        <f>M427-G427</f>
        <v>0</v>
      </c>
      <c r="O427" s="415">
        <f>N427/M427</f>
        <v>0</v>
      </c>
    </row>
    <row r="428" spans="1:15" x14ac:dyDescent="0.25">
      <c r="A428" s="196" t="s">
        <v>112</v>
      </c>
      <c r="B428" s="197"/>
      <c r="C428" s="188"/>
      <c r="D428" s="198"/>
      <c r="E428" s="198"/>
      <c r="F428" s="198"/>
      <c r="G428" s="199"/>
      <c r="H428" s="188"/>
      <c r="I428" s="188"/>
      <c r="J428" s="198"/>
      <c r="K428" s="191"/>
      <c r="L428" s="192"/>
      <c r="M428" s="416">
        <v>4</v>
      </c>
      <c r="N428" s="200">
        <f>M428-SUM(G429:G431)</f>
        <v>0</v>
      </c>
      <c r="O428" s="417">
        <f>N428/M428</f>
        <v>0</v>
      </c>
    </row>
    <row r="429" spans="1:15" x14ac:dyDescent="0.25">
      <c r="A429" s="105" t="s">
        <v>108</v>
      </c>
      <c r="B429" s="109"/>
      <c r="C429" s="59"/>
      <c r="D429" s="77"/>
      <c r="E429" s="77"/>
      <c r="F429" s="77"/>
      <c r="G429" s="138"/>
      <c r="H429" s="59"/>
      <c r="I429" s="59"/>
      <c r="J429" s="77"/>
      <c r="K429" s="61"/>
      <c r="M429" s="418"/>
      <c r="N429" s="25" t="s">
        <v>41</v>
      </c>
      <c r="O429" s="404"/>
    </row>
    <row r="430" spans="1:15" x14ac:dyDescent="0.25">
      <c r="A430" s="126" t="s">
        <v>323</v>
      </c>
      <c r="B430" s="127"/>
      <c r="C430" s="69"/>
      <c r="D430" s="128"/>
      <c r="E430" s="128"/>
      <c r="F430" s="128"/>
      <c r="G430" s="137">
        <v>1</v>
      </c>
      <c r="H430" s="69"/>
      <c r="I430" s="69"/>
      <c r="J430" s="128"/>
      <c r="K430" s="71"/>
      <c r="M430" s="418"/>
      <c r="N430" s="25" t="s">
        <v>41</v>
      </c>
      <c r="O430" s="404"/>
    </row>
    <row r="431" spans="1:15" x14ac:dyDescent="0.25">
      <c r="A431" s="105" t="s">
        <v>320</v>
      </c>
      <c r="B431" s="109"/>
      <c r="C431" s="59"/>
      <c r="D431" s="77"/>
      <c r="E431" s="77"/>
      <c r="F431" s="77"/>
      <c r="G431" s="137">
        <v>3</v>
      </c>
      <c r="H431" s="59"/>
      <c r="I431" s="59"/>
      <c r="J431" s="77"/>
      <c r="K431" s="61"/>
      <c r="M431" s="418">
        <v>3</v>
      </c>
      <c r="N431" s="25"/>
      <c r="O431" s="404"/>
    </row>
    <row r="432" spans="1:15" x14ac:dyDescent="0.25">
      <c r="A432" s="196" t="s">
        <v>113</v>
      </c>
      <c r="B432" s="197"/>
      <c r="C432" s="188"/>
      <c r="D432" s="198"/>
      <c r="E432" s="198"/>
      <c r="F432" s="198"/>
      <c r="G432" s="619"/>
      <c r="H432" s="188"/>
      <c r="I432" s="188"/>
      <c r="J432" s="198"/>
      <c r="K432" s="191"/>
      <c r="L432" s="192"/>
      <c r="M432" s="416">
        <v>5</v>
      </c>
      <c r="N432" s="200">
        <f>M432-SUM(G433:G435)</f>
        <v>0</v>
      </c>
      <c r="O432" s="417">
        <f>N432/M432</f>
        <v>0</v>
      </c>
    </row>
    <row r="433" spans="1:15" x14ac:dyDescent="0.25">
      <c r="A433" s="105" t="s">
        <v>108</v>
      </c>
      <c r="B433" s="109"/>
      <c r="C433" s="59"/>
      <c r="D433" s="77"/>
      <c r="E433" s="77"/>
      <c r="F433" s="77"/>
      <c r="G433" s="138">
        <v>1</v>
      </c>
      <c r="H433" s="59"/>
      <c r="I433" s="59"/>
      <c r="J433" s="77"/>
      <c r="K433" s="61"/>
      <c r="M433" s="418"/>
      <c r="N433" s="25" t="s">
        <v>41</v>
      </c>
      <c r="O433" s="404"/>
    </row>
    <row r="434" spans="1:15" x14ac:dyDescent="0.25">
      <c r="A434" s="126" t="s">
        <v>323</v>
      </c>
      <c r="B434" s="127"/>
      <c r="C434" s="69"/>
      <c r="D434" s="128"/>
      <c r="E434" s="128"/>
      <c r="F434" s="128"/>
      <c r="G434" s="137">
        <v>1</v>
      </c>
      <c r="H434" s="69"/>
      <c r="I434" s="69"/>
      <c r="J434" s="128"/>
      <c r="K434" s="71"/>
      <c r="M434" s="418"/>
      <c r="N434" s="25" t="s">
        <v>41</v>
      </c>
      <c r="O434" s="404"/>
    </row>
    <row r="435" spans="1:15" x14ac:dyDescent="0.25">
      <c r="A435" s="105" t="s">
        <v>320</v>
      </c>
      <c r="B435" s="109"/>
      <c r="C435" s="59"/>
      <c r="D435" s="77"/>
      <c r="E435" s="77"/>
      <c r="F435" s="77"/>
      <c r="G435" s="137">
        <f>1+1+1</f>
        <v>3</v>
      </c>
      <c r="H435" s="59"/>
      <c r="I435" s="59"/>
      <c r="J435" s="77"/>
      <c r="K435" s="61"/>
      <c r="M435" s="418">
        <v>1</v>
      </c>
      <c r="N435" s="25"/>
      <c r="O435" s="404"/>
    </row>
    <row r="436" spans="1:15" x14ac:dyDescent="0.25">
      <c r="A436" s="97" t="s">
        <v>93</v>
      </c>
      <c r="B436" s="108" t="s">
        <v>1</v>
      </c>
      <c r="C436" s="54"/>
      <c r="D436" s="54"/>
      <c r="E436" s="54"/>
      <c r="F436" s="54"/>
      <c r="G436" s="117">
        <f>G439+G438+G437</f>
        <v>4</v>
      </c>
      <c r="H436" s="54"/>
      <c r="I436" s="54"/>
      <c r="J436" s="54"/>
      <c r="K436" s="1"/>
      <c r="M436" s="414">
        <v>4</v>
      </c>
      <c r="N436" s="116">
        <f>M436-G436</f>
        <v>0</v>
      </c>
      <c r="O436" s="415">
        <f>N436/M436</f>
        <v>0</v>
      </c>
    </row>
    <row r="437" spans="1:15" x14ac:dyDescent="0.25">
      <c r="A437" s="105" t="s">
        <v>108</v>
      </c>
      <c r="B437" s="109"/>
      <c r="C437" s="59"/>
      <c r="D437" s="77"/>
      <c r="E437" s="77"/>
      <c r="F437" s="77"/>
      <c r="G437" s="70">
        <v>1</v>
      </c>
      <c r="H437" s="59"/>
      <c r="I437" s="59"/>
      <c r="J437" s="77"/>
      <c r="K437" s="61"/>
      <c r="M437" s="405"/>
      <c r="N437" s="25" t="s">
        <v>41</v>
      </c>
      <c r="O437" s="404"/>
    </row>
    <row r="438" spans="1:15" x14ac:dyDescent="0.25">
      <c r="A438" s="126" t="s">
        <v>323</v>
      </c>
      <c r="B438" s="127"/>
      <c r="C438" s="69"/>
      <c r="D438" s="128"/>
      <c r="E438" s="128"/>
      <c r="F438" s="128"/>
      <c r="G438" s="70">
        <v>1</v>
      </c>
      <c r="H438" s="69"/>
      <c r="I438" s="69"/>
      <c r="J438" s="128"/>
      <c r="K438" s="71"/>
      <c r="M438" s="405"/>
      <c r="N438" s="25" t="s">
        <v>41</v>
      </c>
      <c r="O438" s="404"/>
    </row>
    <row r="439" spans="1:15" x14ac:dyDescent="0.25">
      <c r="A439" s="105" t="s">
        <v>320</v>
      </c>
      <c r="B439" s="109"/>
      <c r="C439" s="59"/>
      <c r="D439" s="77"/>
      <c r="E439" s="77"/>
      <c r="F439" s="77"/>
      <c r="G439" s="70">
        <v>2</v>
      </c>
      <c r="H439" s="59"/>
      <c r="I439" s="59"/>
      <c r="J439" s="77"/>
      <c r="K439" s="61"/>
      <c r="M439" s="405"/>
      <c r="N439" s="25"/>
      <c r="O439" s="404"/>
    </row>
    <row r="440" spans="1:15" x14ac:dyDescent="0.25">
      <c r="A440" s="97" t="s">
        <v>109</v>
      </c>
      <c r="B440" s="108" t="s">
        <v>1</v>
      </c>
      <c r="C440" s="54"/>
      <c r="D440" s="54"/>
      <c r="E440" s="54"/>
      <c r="F440" s="54"/>
      <c r="G440" s="117">
        <f>G443+G442+G441</f>
        <v>4</v>
      </c>
      <c r="H440" s="54"/>
      <c r="I440" s="54"/>
      <c r="J440" s="54"/>
      <c r="K440" s="1"/>
      <c r="M440" s="414">
        <v>4</v>
      </c>
      <c r="N440" s="116">
        <f>M440-G440</f>
        <v>0</v>
      </c>
      <c r="O440" s="415">
        <f>N440/M440</f>
        <v>0</v>
      </c>
    </row>
    <row r="441" spans="1:15" x14ac:dyDescent="0.25">
      <c r="A441" s="105" t="s">
        <v>108</v>
      </c>
      <c r="B441" s="109"/>
      <c r="C441" s="59"/>
      <c r="D441" s="77"/>
      <c r="E441" s="77"/>
      <c r="F441" s="77"/>
      <c r="G441" s="70"/>
      <c r="H441" s="59"/>
      <c r="I441" s="59"/>
      <c r="J441" s="77"/>
      <c r="K441" s="61"/>
      <c r="M441" s="405"/>
      <c r="N441" s="25" t="s">
        <v>41</v>
      </c>
      <c r="O441" s="404"/>
    </row>
    <row r="442" spans="1:15" x14ac:dyDescent="0.25">
      <c r="A442" s="126" t="s">
        <v>323</v>
      </c>
      <c r="B442" s="127"/>
      <c r="C442" s="69"/>
      <c r="D442" s="128"/>
      <c r="E442" s="128"/>
      <c r="F442" s="128"/>
      <c r="G442" s="70">
        <v>1</v>
      </c>
      <c r="H442" s="69"/>
      <c r="I442" s="69"/>
      <c r="J442" s="128"/>
      <c r="K442" s="71"/>
      <c r="M442" s="405"/>
      <c r="N442" s="25" t="s">
        <v>41</v>
      </c>
      <c r="O442" s="404"/>
    </row>
    <row r="443" spans="1:15" x14ac:dyDescent="0.25">
      <c r="A443" s="105" t="s">
        <v>320</v>
      </c>
      <c r="B443" s="109"/>
      <c r="C443" s="59"/>
      <c r="D443" s="77"/>
      <c r="E443" s="77"/>
      <c r="F443" s="77"/>
      <c r="G443" s="70">
        <v>3</v>
      </c>
      <c r="H443" s="59"/>
      <c r="I443" s="59"/>
      <c r="J443" s="77"/>
      <c r="K443" s="61"/>
      <c r="M443" s="405"/>
      <c r="N443" s="25"/>
      <c r="O443" s="404"/>
    </row>
    <row r="444" spans="1:15" x14ac:dyDescent="0.25">
      <c r="A444" s="97" t="s">
        <v>110</v>
      </c>
      <c r="B444" s="108" t="s">
        <v>1</v>
      </c>
      <c r="C444" s="54"/>
      <c r="D444" s="54"/>
      <c r="E444" s="54"/>
      <c r="F444" s="54"/>
      <c r="G444" s="117">
        <f>G447+G446+G445</f>
        <v>4</v>
      </c>
      <c r="H444" s="54"/>
      <c r="I444" s="54"/>
      <c r="J444" s="54"/>
      <c r="K444" s="1"/>
      <c r="M444" s="414">
        <v>4</v>
      </c>
      <c r="N444" s="116">
        <f>M444-G444</f>
        <v>0</v>
      </c>
      <c r="O444" s="415">
        <f>N444/M444</f>
        <v>0</v>
      </c>
    </row>
    <row r="445" spans="1:15" x14ac:dyDescent="0.25">
      <c r="A445" s="105" t="s">
        <v>108</v>
      </c>
      <c r="B445" s="109"/>
      <c r="C445" s="59"/>
      <c r="D445" s="77"/>
      <c r="E445" s="77"/>
      <c r="F445" s="77"/>
      <c r="G445" s="70"/>
      <c r="H445" s="59"/>
      <c r="I445" s="59"/>
      <c r="J445" s="77"/>
      <c r="K445" s="61"/>
      <c r="M445" s="405"/>
      <c r="N445" s="25" t="s">
        <v>41</v>
      </c>
      <c r="O445" s="404"/>
    </row>
    <row r="446" spans="1:15" x14ac:dyDescent="0.25">
      <c r="A446" s="126" t="s">
        <v>323</v>
      </c>
      <c r="B446" s="127"/>
      <c r="C446" s="69"/>
      <c r="D446" s="128"/>
      <c r="E446" s="128"/>
      <c r="F446" s="128"/>
      <c r="G446" s="70">
        <v>1</v>
      </c>
      <c r="H446" s="69"/>
      <c r="I446" s="69"/>
      <c r="J446" s="128"/>
      <c r="K446" s="71"/>
      <c r="M446" s="405"/>
      <c r="N446" s="25" t="s">
        <v>41</v>
      </c>
      <c r="O446" s="404"/>
    </row>
    <row r="447" spans="1:15" x14ac:dyDescent="0.25">
      <c r="A447" s="105" t="s">
        <v>320</v>
      </c>
      <c r="B447" s="109"/>
      <c r="C447" s="59"/>
      <c r="D447" s="77"/>
      <c r="E447" s="77"/>
      <c r="F447" s="77"/>
      <c r="G447" s="70">
        <v>3</v>
      </c>
      <c r="H447" s="59"/>
      <c r="I447" s="59"/>
      <c r="J447" s="77"/>
      <c r="K447" s="61"/>
      <c r="M447" s="405"/>
      <c r="N447" s="25"/>
      <c r="O447" s="404"/>
    </row>
    <row r="448" spans="1:15" x14ac:dyDescent="0.25">
      <c r="A448" s="97" t="s">
        <v>111</v>
      </c>
      <c r="B448" s="108" t="s">
        <v>1</v>
      </c>
      <c r="C448" s="54"/>
      <c r="D448" s="54"/>
      <c r="E448" s="54"/>
      <c r="F448" s="54"/>
      <c r="G448" s="117">
        <f>G451+G450+G449</f>
        <v>4</v>
      </c>
      <c r="H448" s="54"/>
      <c r="I448" s="54"/>
      <c r="J448" s="54"/>
      <c r="K448" s="1"/>
      <c r="M448" s="414">
        <v>4</v>
      </c>
      <c r="N448" s="116">
        <f>M448-G448</f>
        <v>0</v>
      </c>
      <c r="O448" s="415">
        <f>N448/M448</f>
        <v>0</v>
      </c>
    </row>
    <row r="449" spans="1:15" x14ac:dyDescent="0.25">
      <c r="A449" s="105" t="s">
        <v>108</v>
      </c>
      <c r="B449" s="109"/>
      <c r="C449" s="59"/>
      <c r="D449" s="77"/>
      <c r="E449" s="77"/>
      <c r="F449" s="77"/>
      <c r="G449" s="70"/>
      <c r="H449" s="59"/>
      <c r="I449" s="59"/>
      <c r="J449" s="77"/>
      <c r="K449" s="61"/>
      <c r="M449" s="405"/>
      <c r="N449" s="25" t="s">
        <v>41</v>
      </c>
      <c r="O449" s="404"/>
    </row>
    <row r="450" spans="1:15" x14ac:dyDescent="0.25">
      <c r="A450" s="126" t="s">
        <v>323</v>
      </c>
      <c r="B450" s="127"/>
      <c r="C450" s="69"/>
      <c r="D450" s="128"/>
      <c r="E450" s="128"/>
      <c r="F450" s="128"/>
      <c r="G450" s="70">
        <v>1</v>
      </c>
      <c r="H450" s="69"/>
      <c r="I450" s="69"/>
      <c r="J450" s="128"/>
      <c r="K450" s="71"/>
      <c r="M450" s="405"/>
      <c r="N450" s="25" t="s">
        <v>41</v>
      </c>
      <c r="O450" s="404"/>
    </row>
    <row r="451" spans="1:15" x14ac:dyDescent="0.25">
      <c r="A451" s="105" t="s">
        <v>320</v>
      </c>
      <c r="B451" s="109"/>
      <c r="C451" s="59"/>
      <c r="D451" s="77"/>
      <c r="E451" s="77"/>
      <c r="F451" s="77"/>
      <c r="G451" s="70">
        <v>3</v>
      </c>
      <c r="H451" s="59"/>
      <c r="I451" s="59"/>
      <c r="J451" s="77"/>
      <c r="K451" s="61"/>
      <c r="M451" s="405"/>
      <c r="N451" s="25"/>
      <c r="O451" s="404"/>
    </row>
    <row r="452" spans="1:15" x14ac:dyDescent="0.25">
      <c r="A452" s="97" t="s">
        <v>172</v>
      </c>
      <c r="B452" s="108" t="s">
        <v>1</v>
      </c>
      <c r="C452" s="54"/>
      <c r="D452" s="54"/>
      <c r="E452" s="54"/>
      <c r="F452" s="54"/>
      <c r="G452" s="117">
        <f>G455+G454+G453</f>
        <v>1</v>
      </c>
      <c r="H452" s="54"/>
      <c r="I452" s="54"/>
      <c r="J452" s="54"/>
      <c r="K452" s="1"/>
      <c r="M452" s="414">
        <v>1</v>
      </c>
      <c r="N452" s="116">
        <f>M452-G452</f>
        <v>0</v>
      </c>
      <c r="O452" s="415">
        <f>N452/M452</f>
        <v>0</v>
      </c>
    </row>
    <row r="453" spans="1:15" x14ac:dyDescent="0.25">
      <c r="A453" s="105" t="s">
        <v>108</v>
      </c>
      <c r="B453" s="109"/>
      <c r="C453" s="59"/>
      <c r="D453" s="77"/>
      <c r="E453" s="77"/>
      <c r="F453" s="77"/>
      <c r="G453" s="70"/>
      <c r="H453" s="59"/>
      <c r="I453" s="59"/>
      <c r="J453" s="77"/>
      <c r="K453" s="61"/>
      <c r="M453" s="405"/>
      <c r="N453" s="25" t="s">
        <v>41</v>
      </c>
      <c r="O453" s="404"/>
    </row>
    <row r="454" spans="1:15" x14ac:dyDescent="0.25">
      <c r="A454" s="126" t="s">
        <v>323</v>
      </c>
      <c r="B454" s="127"/>
      <c r="C454" s="69"/>
      <c r="D454" s="128"/>
      <c r="E454" s="128"/>
      <c r="F454" s="128"/>
      <c r="G454" s="70">
        <v>1</v>
      </c>
      <c r="H454" s="69"/>
      <c r="I454" s="69"/>
      <c r="J454" s="128"/>
      <c r="K454" s="71"/>
      <c r="M454" s="405"/>
      <c r="N454" s="25" t="s">
        <v>41</v>
      </c>
      <c r="O454" s="404"/>
    </row>
    <row r="455" spans="1:15" x14ac:dyDescent="0.25">
      <c r="A455" s="105" t="s">
        <v>320</v>
      </c>
      <c r="B455" s="109"/>
      <c r="C455" s="59"/>
      <c r="D455" s="77"/>
      <c r="E455" s="77"/>
      <c r="F455" s="77"/>
      <c r="G455" s="70"/>
      <c r="H455" s="59"/>
      <c r="I455" s="59"/>
      <c r="J455" s="77"/>
      <c r="K455" s="61"/>
      <c r="M455" s="405"/>
      <c r="N455" s="25"/>
      <c r="O455" s="404"/>
    </row>
    <row r="456" spans="1:15" x14ac:dyDescent="0.25">
      <c r="A456" s="97" t="s">
        <v>417</v>
      </c>
      <c r="B456" s="108" t="s">
        <v>1</v>
      </c>
      <c r="C456" s="54"/>
      <c r="D456" s="54"/>
      <c r="E456" s="54"/>
      <c r="F456" s="54"/>
      <c r="G456" s="117">
        <f>G459+G458+G457</f>
        <v>4</v>
      </c>
      <c r="H456" s="54"/>
      <c r="I456" s="54"/>
      <c r="J456" s="54"/>
      <c r="K456" s="1"/>
      <c r="M456" s="414">
        <v>4</v>
      </c>
      <c r="N456" s="116">
        <f>M456-G456</f>
        <v>0</v>
      </c>
      <c r="O456" s="415">
        <f>N456/M456</f>
        <v>0</v>
      </c>
    </row>
    <row r="457" spans="1:15" x14ac:dyDescent="0.25">
      <c r="A457" s="105" t="s">
        <v>108</v>
      </c>
      <c r="B457" s="109"/>
      <c r="C457" s="59"/>
      <c r="D457" s="77"/>
      <c r="E457" s="77"/>
      <c r="F457" s="77"/>
      <c r="G457" s="70">
        <v>0</v>
      </c>
      <c r="H457" s="59"/>
      <c r="I457" s="59"/>
      <c r="J457" s="77"/>
      <c r="K457" s="61"/>
      <c r="M457" s="405"/>
      <c r="N457" s="25" t="s">
        <v>41</v>
      </c>
      <c r="O457" s="404"/>
    </row>
    <row r="458" spans="1:15" x14ac:dyDescent="0.25">
      <c r="A458" s="126" t="s">
        <v>323</v>
      </c>
      <c r="B458" s="127"/>
      <c r="C458" s="69"/>
      <c r="D458" s="128"/>
      <c r="E458" s="128"/>
      <c r="F458" s="128"/>
      <c r="G458" s="70">
        <v>1</v>
      </c>
      <c r="H458" s="69"/>
      <c r="I458" s="69"/>
      <c r="J458" s="128"/>
      <c r="K458" s="71"/>
      <c r="M458" s="405"/>
      <c r="N458" s="25" t="s">
        <v>41</v>
      </c>
      <c r="O458" s="404"/>
    </row>
    <row r="459" spans="1:15" ht="15.75" thickBot="1" x14ac:dyDescent="0.3">
      <c r="A459" s="110" t="s">
        <v>320</v>
      </c>
      <c r="B459" s="111"/>
      <c r="C459" s="80"/>
      <c r="D459" s="81"/>
      <c r="E459" s="81"/>
      <c r="F459" s="81"/>
      <c r="G459" s="129">
        <v>3</v>
      </c>
      <c r="H459" s="80"/>
      <c r="I459" s="80"/>
      <c r="J459" s="81"/>
      <c r="K459" s="84"/>
      <c r="M459" s="407"/>
      <c r="N459" s="408"/>
      <c r="O459" s="409"/>
    </row>
  </sheetData>
  <mergeCells count="1">
    <mergeCell ref="N2:O2"/>
  </mergeCells>
  <conditionalFormatting sqref="N14:O14 N22:O22 N54:O54 N66:O66 N116:O116 N127:O128 N133:O133 N146:O146 N208:O208 N230:O230 N241:O241 N298:O298 N321:O321 N317:O317 N315:O315 N363:O363 N367:O367 N371:O371 N375:O375 N379:O379 N383:O383 N395:O395 N391:O391 N403:O403 N399:O399 N415:O415 N411:O411 N407:O407 N427:O427 N423:O423 N419:O419 N387:O387 N277:O277 N131:O131 N349:O349 N353:O353 N150:O150 N351:O351 N290:O290 N24:O24 M25:O31 M33:O36">
    <cfRule type="cellIs" dxfId="90" priority="129" operator="equal">
      <formula>0</formula>
    </cfRule>
  </conditionalFormatting>
  <conditionalFormatting sqref="N17:O17">
    <cfRule type="cellIs" dxfId="89" priority="128" operator="equal">
      <formula>0</formula>
    </cfRule>
  </conditionalFormatting>
  <conditionalFormatting sqref="N10:O10">
    <cfRule type="cellIs" dxfId="88" priority="127" operator="equal">
      <formula>0</formula>
    </cfRule>
  </conditionalFormatting>
  <conditionalFormatting sqref="N3:O3 N7:O7">
    <cfRule type="cellIs" dxfId="87" priority="126" operator="equal">
      <formula>0</formula>
    </cfRule>
  </conditionalFormatting>
  <conditionalFormatting sqref="N37:O37">
    <cfRule type="cellIs" dxfId="86" priority="60" operator="equal">
      <formula>0</formula>
    </cfRule>
  </conditionalFormatting>
  <conditionalFormatting sqref="N39:O39">
    <cfRule type="cellIs" dxfId="85" priority="59" operator="equal">
      <formula>0</formula>
    </cfRule>
  </conditionalFormatting>
  <conditionalFormatting sqref="N51:O51">
    <cfRule type="cellIs" dxfId="84" priority="57" operator="equal">
      <formula>0</formula>
    </cfRule>
  </conditionalFormatting>
  <conditionalFormatting sqref="N440:O440">
    <cfRule type="cellIs" dxfId="83" priority="55" operator="equal">
      <formula>0</formula>
    </cfRule>
  </conditionalFormatting>
  <conditionalFormatting sqref="N436:O436">
    <cfRule type="cellIs" dxfId="82" priority="56" operator="equal">
      <formula>0</formula>
    </cfRule>
  </conditionalFormatting>
  <conditionalFormatting sqref="N448:O448">
    <cfRule type="cellIs" dxfId="81" priority="53" operator="equal">
      <formula>0</formula>
    </cfRule>
  </conditionalFormatting>
  <conditionalFormatting sqref="N444:O444">
    <cfRule type="cellIs" dxfId="80" priority="54" operator="equal">
      <formula>0</formula>
    </cfRule>
  </conditionalFormatting>
  <conditionalFormatting sqref="N452:O452">
    <cfRule type="cellIs" dxfId="79" priority="52" operator="equal">
      <formula>0</formula>
    </cfRule>
  </conditionalFormatting>
  <conditionalFormatting sqref="N365:O365">
    <cfRule type="cellIs" dxfId="78" priority="50" operator="equal">
      <formula>0</formula>
    </cfRule>
  </conditionalFormatting>
  <conditionalFormatting sqref="N355:O355">
    <cfRule type="cellIs" dxfId="77" priority="44" operator="equal">
      <formula>0</formula>
    </cfRule>
  </conditionalFormatting>
  <conditionalFormatting sqref="N353:O353">
    <cfRule type="cellIs" dxfId="76" priority="49" operator="equal">
      <formula>0</formula>
    </cfRule>
  </conditionalFormatting>
  <conditionalFormatting sqref="N355:O355">
    <cfRule type="cellIs" dxfId="75" priority="45" operator="equal">
      <formula>0</formula>
    </cfRule>
  </conditionalFormatting>
  <conditionalFormatting sqref="N325:O325">
    <cfRule type="cellIs" dxfId="74" priority="43" operator="equal">
      <formula>0</formula>
    </cfRule>
  </conditionalFormatting>
  <conditionalFormatting sqref="N327:O327">
    <cfRule type="cellIs" dxfId="73" priority="42" operator="equal">
      <formula>0</formula>
    </cfRule>
  </conditionalFormatting>
  <conditionalFormatting sqref="N345:O345">
    <cfRule type="cellIs" dxfId="72" priority="39" operator="equal">
      <formula>0</formula>
    </cfRule>
  </conditionalFormatting>
  <conditionalFormatting sqref="N344:O344">
    <cfRule type="cellIs" dxfId="71" priority="40" operator="equal">
      <formula>0</formula>
    </cfRule>
  </conditionalFormatting>
  <conditionalFormatting sqref="N357:O357">
    <cfRule type="cellIs" dxfId="70" priority="37" operator="equal">
      <formula>0</formula>
    </cfRule>
  </conditionalFormatting>
  <conditionalFormatting sqref="N346:O346">
    <cfRule type="cellIs" dxfId="69" priority="38" operator="equal">
      <formula>0</formula>
    </cfRule>
  </conditionalFormatting>
  <conditionalFormatting sqref="N357:O357">
    <cfRule type="cellIs" dxfId="68" priority="36" operator="equal">
      <formula>0</formula>
    </cfRule>
  </conditionalFormatting>
  <conditionalFormatting sqref="N359:O359">
    <cfRule type="cellIs" dxfId="67" priority="35" operator="equal">
      <formula>0</formula>
    </cfRule>
  </conditionalFormatting>
  <conditionalFormatting sqref="N359:O359">
    <cfRule type="cellIs" dxfId="66" priority="34" operator="equal">
      <formula>0</formula>
    </cfRule>
  </conditionalFormatting>
  <conditionalFormatting sqref="N195:O195">
    <cfRule type="cellIs" dxfId="65" priority="33" operator="equal">
      <formula>0</formula>
    </cfRule>
  </conditionalFormatting>
  <conditionalFormatting sqref="N136:O136">
    <cfRule type="cellIs" dxfId="64" priority="32" operator="equal">
      <formula>0</formula>
    </cfRule>
  </conditionalFormatting>
  <conditionalFormatting sqref="N140:O140">
    <cfRule type="cellIs" dxfId="63" priority="31" operator="equal">
      <formula>0</formula>
    </cfRule>
  </conditionalFormatting>
  <conditionalFormatting sqref="O142">
    <cfRule type="cellIs" dxfId="62" priority="30" operator="equal">
      <formula>0</formula>
    </cfRule>
  </conditionalFormatting>
  <conditionalFormatting sqref="N108:O108">
    <cfRule type="cellIs" dxfId="61" priority="22" operator="equal">
      <formula>0</formula>
    </cfRule>
  </conditionalFormatting>
  <conditionalFormatting sqref="N48:O48">
    <cfRule type="cellIs" dxfId="60" priority="21" operator="equal">
      <formula>0</formula>
    </cfRule>
  </conditionalFormatting>
  <conditionalFormatting sqref="N307:O307">
    <cfRule type="cellIs" dxfId="59" priority="19" operator="equal">
      <formula>0</formula>
    </cfRule>
  </conditionalFormatting>
  <conditionalFormatting sqref="N299:O299">
    <cfRule type="cellIs" dxfId="58" priority="17" operator="equal">
      <formula>0</formula>
    </cfRule>
  </conditionalFormatting>
  <conditionalFormatting sqref="N67:O67">
    <cfRule type="cellIs" dxfId="57" priority="14" operator="equal">
      <formula>0</formula>
    </cfRule>
  </conditionalFormatting>
  <conditionalFormatting sqref="M23:O23">
    <cfRule type="cellIs" dxfId="56" priority="13" operator="equal">
      <formula>0</formula>
    </cfRule>
  </conditionalFormatting>
  <conditionalFormatting sqref="M18:O18">
    <cfRule type="cellIs" dxfId="55" priority="12" operator="equal">
      <formula>0</formula>
    </cfRule>
  </conditionalFormatting>
  <conditionalFormatting sqref="M19:O19">
    <cfRule type="cellIs" dxfId="54" priority="11" operator="equal">
      <formula>0</formula>
    </cfRule>
  </conditionalFormatting>
  <conditionalFormatting sqref="M20:O20">
    <cfRule type="cellIs" dxfId="53" priority="10" operator="equal">
      <formula>0</formula>
    </cfRule>
  </conditionalFormatting>
  <conditionalFormatting sqref="M21:O21">
    <cfRule type="cellIs" dxfId="52" priority="9" operator="equal">
      <formula>0</formula>
    </cfRule>
  </conditionalFormatting>
  <conditionalFormatting sqref="N428:O428">
    <cfRule type="cellIs" dxfId="51" priority="8" operator="equal">
      <formula>0</formula>
    </cfRule>
  </conditionalFormatting>
  <conditionalFormatting sqref="N432:O432">
    <cfRule type="cellIs" dxfId="50" priority="6" operator="equal">
      <formula>0</formula>
    </cfRule>
  </conditionalFormatting>
  <conditionalFormatting sqref="N142">
    <cfRule type="cellIs" dxfId="49" priority="4" operator="equal">
      <formula>0</formula>
    </cfRule>
  </conditionalFormatting>
  <conditionalFormatting sqref="M32:O32">
    <cfRule type="cellIs" dxfId="48" priority="3" operator="equal">
      <formula>0</formula>
    </cfRule>
  </conditionalFormatting>
  <conditionalFormatting sqref="N456:O456">
    <cfRule type="cellIs" dxfId="47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499984740745262"/>
  </sheetPr>
  <dimension ref="A1:G44"/>
  <sheetViews>
    <sheetView showGridLines="0" tabSelected="1" workbookViewId="0">
      <selection activeCell="F22" sqref="F22"/>
    </sheetView>
  </sheetViews>
  <sheetFormatPr defaultRowHeight="12" x14ac:dyDescent="0.2"/>
  <cols>
    <col min="1" max="1" width="4.140625" style="647" bestFit="1" customWidth="1"/>
    <col min="2" max="2" width="26.28515625" style="647" bestFit="1" customWidth="1"/>
    <col min="3" max="3" width="129.42578125" style="647" customWidth="1"/>
    <col min="4" max="4" width="36.5703125" style="648" customWidth="1"/>
    <col min="5" max="5" width="36.5703125" style="647" bestFit="1" customWidth="1"/>
    <col min="6" max="6" width="21.85546875" style="647" bestFit="1" customWidth="1"/>
    <col min="7" max="7" width="6.85546875" style="647" bestFit="1" customWidth="1"/>
    <col min="8" max="8" width="7.140625" style="647" bestFit="1" customWidth="1"/>
    <col min="9" max="9" width="7" style="647" bestFit="1" customWidth="1"/>
    <col min="10" max="10" width="5.28515625" style="647" customWidth="1"/>
    <col min="11" max="11" width="6.85546875" style="647" customWidth="1"/>
    <col min="12" max="12" width="7" style="647" bestFit="1" customWidth="1"/>
    <col min="13" max="13" width="7" style="647" customWidth="1"/>
    <col min="14" max="14" width="5.28515625" style="647" customWidth="1"/>
    <col min="15" max="15" width="13.5703125" style="647" bestFit="1" customWidth="1"/>
    <col min="16" max="16" width="13.7109375" style="647" customWidth="1"/>
    <col min="17" max="17" width="5.28515625" style="647" customWidth="1"/>
    <col min="18" max="18" width="21.42578125" style="647" bestFit="1" customWidth="1"/>
    <col min="19" max="19" width="21.85546875" style="647" bestFit="1" customWidth="1"/>
    <col min="20" max="16384" width="9.140625" style="647"/>
  </cols>
  <sheetData>
    <row r="1" spans="1:7" x14ac:dyDescent="0.2">
      <c r="D1" s="647"/>
    </row>
    <row r="2" spans="1:7" ht="12.75" x14ac:dyDescent="0.2">
      <c r="A2" s="673"/>
      <c r="B2" s="671"/>
      <c r="C2" s="672"/>
      <c r="D2" s="673"/>
      <c r="E2" s="673"/>
      <c r="F2" s="673"/>
      <c r="G2" s="673"/>
    </row>
    <row r="3" spans="1:7" ht="13.5" thickBot="1" x14ac:dyDescent="0.25">
      <c r="A3" s="651"/>
      <c r="B3" s="652"/>
      <c r="C3" s="653"/>
      <c r="D3" s="650"/>
      <c r="E3" s="650"/>
      <c r="F3" s="650"/>
      <c r="G3" s="654"/>
    </row>
    <row r="4" spans="1:7" ht="25.5" x14ac:dyDescent="0.2">
      <c r="A4" s="651"/>
      <c r="B4" s="655" t="s">
        <v>448</v>
      </c>
      <c r="C4" s="656" t="s">
        <v>464</v>
      </c>
      <c r="D4" s="697" t="s">
        <v>460</v>
      </c>
      <c r="E4" s="657"/>
      <c r="F4" s="658"/>
      <c r="G4" s="654"/>
    </row>
    <row r="5" spans="1:7" ht="13.5" thickBot="1" x14ac:dyDescent="0.25">
      <c r="A5" s="651"/>
      <c r="B5" s="659" t="s">
        <v>449</v>
      </c>
      <c r="C5" s="660" t="s">
        <v>461</v>
      </c>
      <c r="D5" s="661" t="s">
        <v>462</v>
      </c>
      <c r="E5" s="675">
        <f>0.5*0.6</f>
        <v>0.3</v>
      </c>
      <c r="F5" s="676">
        <f>0.82*0.52</f>
        <v>0.4264</v>
      </c>
      <c r="G5" s="654"/>
    </row>
    <row r="6" spans="1:7" ht="13.5" thickBot="1" x14ac:dyDescent="0.25">
      <c r="A6" s="651"/>
      <c r="B6" s="662" t="s">
        <v>450</v>
      </c>
      <c r="C6" s="663"/>
      <c r="D6" s="664" t="s">
        <v>451</v>
      </c>
      <c r="E6" s="677" t="s">
        <v>452</v>
      </c>
      <c r="F6" s="665" t="s">
        <v>453</v>
      </c>
      <c r="G6" s="654"/>
    </row>
    <row r="7" spans="1:7" ht="13.5" thickBot="1" x14ac:dyDescent="0.25">
      <c r="A7" s="651"/>
      <c r="B7" s="666">
        <v>88274</v>
      </c>
      <c r="C7" s="678" t="s">
        <v>439</v>
      </c>
      <c r="D7" s="679" t="s">
        <v>258</v>
      </c>
      <c r="E7" s="680">
        <v>1.9209000000000001</v>
      </c>
      <c r="F7" s="667">
        <f>(E7/$E$5)*$F$5</f>
        <v>2.7302392000000002</v>
      </c>
      <c r="G7" s="654"/>
    </row>
    <row r="8" spans="1:7" ht="13.5" thickBot="1" x14ac:dyDescent="0.25">
      <c r="A8" s="651"/>
      <c r="B8" s="666">
        <v>88316</v>
      </c>
      <c r="C8" s="678" t="s">
        <v>440</v>
      </c>
      <c r="D8" s="679" t="s">
        <v>258</v>
      </c>
      <c r="E8" s="680">
        <v>0.98109999999999997</v>
      </c>
      <c r="F8" s="667">
        <f>(E8/$E$5)*$F$5</f>
        <v>1.3944701333333334</v>
      </c>
      <c r="G8" s="654"/>
    </row>
    <row r="9" spans="1:7" ht="13.5" thickBot="1" x14ac:dyDescent="0.25">
      <c r="A9" s="651"/>
      <c r="B9" s="668">
        <v>4823</v>
      </c>
      <c r="C9" s="681" t="s">
        <v>441</v>
      </c>
      <c r="D9" s="682" t="s">
        <v>442</v>
      </c>
      <c r="E9" s="683">
        <v>0.38440000000000002</v>
      </c>
      <c r="F9" s="669">
        <f>(E9/$E$5)*$F$5</f>
        <v>0.54636053333333334</v>
      </c>
      <c r="G9" s="654"/>
    </row>
    <row r="10" spans="1:7" ht="13.5" thickBot="1" x14ac:dyDescent="0.25">
      <c r="A10" s="651"/>
      <c r="B10" s="668">
        <v>11795</v>
      </c>
      <c r="C10" s="681" t="s">
        <v>445</v>
      </c>
      <c r="D10" s="682" t="s">
        <v>10</v>
      </c>
      <c r="E10" s="683">
        <v>0.377</v>
      </c>
      <c r="F10" s="669">
        <f>(E10/$E$5)*$F$5</f>
        <v>0.53584266666666669</v>
      </c>
      <c r="G10" s="654"/>
    </row>
    <row r="11" spans="1:7" ht="13.5" thickBot="1" x14ac:dyDescent="0.25">
      <c r="A11" s="651"/>
      <c r="B11" s="668">
        <v>37329</v>
      </c>
      <c r="C11" s="681" t="s">
        <v>446</v>
      </c>
      <c r="D11" s="682" t="s">
        <v>442</v>
      </c>
      <c r="E11" s="683">
        <v>1.54E-2</v>
      </c>
      <c r="F11" s="669">
        <f>(E11/$E$5)*$F$5</f>
        <v>2.1888533333333335E-2</v>
      </c>
      <c r="G11" s="654"/>
    </row>
    <row r="12" spans="1:7" ht="13.5" thickBot="1" x14ac:dyDescent="0.25">
      <c r="A12" s="651"/>
      <c r="B12" s="668">
        <v>37590</v>
      </c>
      <c r="C12" s="681" t="s">
        <v>447</v>
      </c>
      <c r="D12" s="682" t="s">
        <v>444</v>
      </c>
      <c r="E12" s="684">
        <v>2</v>
      </c>
      <c r="F12" s="685">
        <v>2</v>
      </c>
      <c r="G12" s="654" t="s">
        <v>456</v>
      </c>
    </row>
    <row r="13" spans="1:7" ht="13.5" thickBot="1" x14ac:dyDescent="0.25">
      <c r="A13" s="651"/>
      <c r="B13" s="686">
        <v>7568</v>
      </c>
      <c r="C13" s="687" t="s">
        <v>443</v>
      </c>
      <c r="D13" s="688" t="s">
        <v>444</v>
      </c>
      <c r="E13" s="689">
        <v>6</v>
      </c>
      <c r="F13" s="690">
        <f>3*F12</f>
        <v>6</v>
      </c>
      <c r="G13" s="654"/>
    </row>
    <row r="14" spans="1:7" ht="15.75" thickBot="1" x14ac:dyDescent="0.3">
      <c r="A14" s="651"/>
      <c r="B14" s="691" t="s">
        <v>463</v>
      </c>
      <c r="C14"/>
      <c r="D14"/>
      <c r="E14"/>
      <c r="F14"/>
      <c r="G14" s="654"/>
    </row>
    <row r="15" spans="1:7" ht="26.25" thickBot="1" x14ac:dyDescent="0.25">
      <c r="A15" s="651"/>
      <c r="B15" s="692">
        <v>20231</v>
      </c>
      <c r="C15" s="693" t="s">
        <v>458</v>
      </c>
      <c r="D15" s="694" t="s">
        <v>459</v>
      </c>
      <c r="E15" s="695"/>
      <c r="F15" s="696">
        <v>2.6</v>
      </c>
      <c r="G15" s="654"/>
    </row>
    <row r="16" spans="1:7" ht="12.75" x14ac:dyDescent="0.2">
      <c r="A16" s="670"/>
      <c r="B16" s="671"/>
      <c r="C16" s="672"/>
      <c r="D16" s="673"/>
      <c r="E16" s="673"/>
      <c r="F16" s="673"/>
      <c r="G16" s="674"/>
    </row>
    <row r="17" spans="1:7" ht="13.5" thickBot="1" x14ac:dyDescent="0.25">
      <c r="A17" s="651"/>
      <c r="B17" s="652"/>
      <c r="C17" s="653"/>
      <c r="D17" s="650"/>
      <c r="E17" s="650"/>
      <c r="F17" s="650"/>
      <c r="G17" s="654"/>
    </row>
    <row r="18" spans="1:7" ht="25.5" x14ac:dyDescent="0.2">
      <c r="A18" s="651"/>
      <c r="B18" s="655" t="s">
        <v>448</v>
      </c>
      <c r="C18" s="656" t="s">
        <v>465</v>
      </c>
      <c r="D18" s="697" t="s">
        <v>466</v>
      </c>
      <c r="E18" s="657"/>
      <c r="F18" s="658"/>
      <c r="G18" s="654"/>
    </row>
    <row r="19" spans="1:7" ht="13.5" thickBot="1" x14ac:dyDescent="0.25">
      <c r="A19" s="651"/>
      <c r="B19" s="659" t="s">
        <v>449</v>
      </c>
      <c r="C19" s="660" t="s">
        <v>454</v>
      </c>
      <c r="D19" s="661" t="s">
        <v>455</v>
      </c>
      <c r="E19" s="675">
        <f>1.5*0.6</f>
        <v>0.89999999999999991</v>
      </c>
      <c r="F19" s="676">
        <f>2.05*0.57</f>
        <v>1.1684999999999999</v>
      </c>
      <c r="G19" s="654"/>
    </row>
    <row r="20" spans="1:7" ht="13.5" thickBot="1" x14ac:dyDescent="0.25">
      <c r="A20" s="651"/>
      <c r="B20" s="662" t="s">
        <v>450</v>
      </c>
      <c r="C20" s="663"/>
      <c r="D20" s="664" t="s">
        <v>451</v>
      </c>
      <c r="E20" s="677" t="s">
        <v>452</v>
      </c>
      <c r="F20" s="665" t="s">
        <v>453</v>
      </c>
      <c r="G20" s="654"/>
    </row>
    <row r="21" spans="1:7" ht="13.5" thickBot="1" x14ac:dyDescent="0.25">
      <c r="A21" s="651"/>
      <c r="B21" s="666">
        <v>88274</v>
      </c>
      <c r="C21" s="678" t="s">
        <v>439</v>
      </c>
      <c r="D21" s="679" t="s">
        <v>258</v>
      </c>
      <c r="E21" s="680">
        <v>1.4944</v>
      </c>
      <c r="F21" s="667">
        <f>(E21/$E$19)*$F$19</f>
        <v>1.9402293333333334</v>
      </c>
      <c r="G21" s="654"/>
    </row>
    <row r="22" spans="1:7" ht="13.5" thickBot="1" x14ac:dyDescent="0.25">
      <c r="A22" s="651"/>
      <c r="B22" s="666">
        <v>88316</v>
      </c>
      <c r="C22" s="678" t="s">
        <v>440</v>
      </c>
      <c r="D22" s="679" t="s">
        <v>258</v>
      </c>
      <c r="E22" s="680">
        <v>0.98340000000000005</v>
      </c>
      <c r="F22" s="667">
        <f>(E22/$E$19)*$F$19</f>
        <v>1.2767810000000002</v>
      </c>
      <c r="G22" s="654"/>
    </row>
    <row r="23" spans="1:7" ht="13.5" thickBot="1" x14ac:dyDescent="0.25">
      <c r="A23" s="651"/>
      <c r="B23" s="668">
        <v>4823</v>
      </c>
      <c r="C23" s="681" t="s">
        <v>441</v>
      </c>
      <c r="D23" s="682" t="s">
        <v>442</v>
      </c>
      <c r="E23" s="683">
        <v>0.52280000000000004</v>
      </c>
      <c r="F23" s="669">
        <f>(E23/$E$19)*$F$19</f>
        <v>0.67876866666666669</v>
      </c>
      <c r="G23" s="654"/>
    </row>
    <row r="24" spans="1:7" ht="13.5" thickBot="1" x14ac:dyDescent="0.25">
      <c r="A24" s="651"/>
      <c r="B24" s="668">
        <v>11795</v>
      </c>
      <c r="C24" s="681" t="s">
        <v>445</v>
      </c>
      <c r="D24" s="682" t="s">
        <v>10</v>
      </c>
      <c r="E24" s="683">
        <v>1.0049999999999999</v>
      </c>
      <c r="F24" s="669"/>
      <c r="G24" s="654" t="s">
        <v>468</v>
      </c>
    </row>
    <row r="25" spans="1:7" ht="13.5" thickBot="1" x14ac:dyDescent="0.25">
      <c r="A25" s="651"/>
      <c r="B25" s="668">
        <v>37329</v>
      </c>
      <c r="C25" s="681" t="s">
        <v>446</v>
      </c>
      <c r="D25" s="682" t="s">
        <v>442</v>
      </c>
      <c r="E25" s="683">
        <v>2.1100000000000001E-2</v>
      </c>
      <c r="F25" s="669"/>
      <c r="G25" s="654" t="s">
        <v>468</v>
      </c>
    </row>
    <row r="26" spans="1:7" ht="13.5" thickBot="1" x14ac:dyDescent="0.25">
      <c r="A26" s="651"/>
      <c r="B26" s="668">
        <v>37590</v>
      </c>
      <c r="C26" s="681" t="s">
        <v>447</v>
      </c>
      <c r="D26" s="682" t="s">
        <v>444</v>
      </c>
      <c r="E26" s="684">
        <v>2</v>
      </c>
      <c r="F26" s="685">
        <v>4</v>
      </c>
      <c r="G26" s="654" t="s">
        <v>456</v>
      </c>
    </row>
    <row r="27" spans="1:7" ht="13.5" thickBot="1" x14ac:dyDescent="0.25">
      <c r="A27" s="651"/>
      <c r="B27" s="686">
        <v>7568</v>
      </c>
      <c r="C27" s="687" t="s">
        <v>443</v>
      </c>
      <c r="D27" s="688" t="s">
        <v>444</v>
      </c>
      <c r="E27" s="689">
        <v>6</v>
      </c>
      <c r="F27" s="690">
        <f>(E27/E26)*F26</f>
        <v>12</v>
      </c>
      <c r="G27" s="654"/>
    </row>
    <row r="28" spans="1:7" ht="15" x14ac:dyDescent="0.25">
      <c r="A28" s="651"/>
      <c r="B28" s="691" t="s">
        <v>457</v>
      </c>
      <c r="C28"/>
      <c r="D28"/>
      <c r="E28"/>
      <c r="F28"/>
      <c r="G28" s="654"/>
    </row>
    <row r="29" spans="1:7" ht="15" x14ac:dyDescent="0.25">
      <c r="A29" s="651"/>
      <c r="B29" s="691" t="s">
        <v>467</v>
      </c>
      <c r="C29"/>
      <c r="D29"/>
      <c r="E29"/>
      <c r="F29"/>
      <c r="G29" s="654"/>
    </row>
    <row r="30" spans="1:7" ht="12.75" x14ac:dyDescent="0.2">
      <c r="A30" s="670"/>
      <c r="B30" s="671"/>
      <c r="C30" s="672"/>
      <c r="D30" s="673"/>
      <c r="E30" s="673"/>
      <c r="F30" s="673"/>
      <c r="G30" s="674"/>
    </row>
    <row r="31" spans="1:7" ht="15" x14ac:dyDescent="0.25">
      <c r="A31"/>
      <c r="B31"/>
      <c r="C31"/>
      <c r="D31" s="649"/>
      <c r="E31"/>
    </row>
    <row r="32" spans="1:7" ht="15" x14ac:dyDescent="0.25">
      <c r="A32"/>
      <c r="B32"/>
      <c r="C32"/>
      <c r="D32" s="649"/>
      <c r="E32"/>
    </row>
    <row r="33" spans="1:5" ht="15" x14ac:dyDescent="0.25">
      <c r="A33"/>
      <c r="B33"/>
      <c r="C33"/>
      <c r="D33" s="649"/>
      <c r="E33"/>
    </row>
    <row r="34" spans="1:5" ht="15" x14ac:dyDescent="0.25">
      <c r="A34"/>
      <c r="B34"/>
      <c r="C34"/>
      <c r="D34" s="649"/>
      <c r="E34"/>
    </row>
    <row r="35" spans="1:5" ht="15" x14ac:dyDescent="0.25">
      <c r="A35"/>
      <c r="B35"/>
      <c r="C35"/>
      <c r="D35" s="649"/>
      <c r="E35"/>
    </row>
    <row r="36" spans="1:5" ht="15" x14ac:dyDescent="0.25">
      <c r="A36"/>
      <c r="B36"/>
      <c r="C36"/>
      <c r="D36" s="649"/>
      <c r="E36"/>
    </row>
    <row r="37" spans="1:5" ht="15" x14ac:dyDescent="0.25">
      <c r="A37"/>
      <c r="B37"/>
      <c r="C37"/>
      <c r="D37" s="649"/>
      <c r="E37"/>
    </row>
    <row r="38" spans="1:5" ht="15" x14ac:dyDescent="0.25">
      <c r="A38"/>
      <c r="B38"/>
      <c r="C38"/>
      <c r="D38" s="649"/>
      <c r="E38"/>
    </row>
    <row r="39" spans="1:5" ht="15" x14ac:dyDescent="0.25">
      <c r="A39"/>
      <c r="B39"/>
      <c r="C39"/>
      <c r="D39" s="649"/>
      <c r="E39"/>
    </row>
    <row r="40" spans="1:5" ht="15" x14ac:dyDescent="0.25">
      <c r="A40"/>
      <c r="B40"/>
      <c r="C40"/>
      <c r="D40" s="649"/>
      <c r="E40"/>
    </row>
    <row r="41" spans="1:5" ht="15" x14ac:dyDescent="0.25">
      <c r="A41"/>
      <c r="B41"/>
      <c r="C41"/>
      <c r="D41" s="649"/>
      <c r="E41"/>
    </row>
    <row r="42" spans="1:5" ht="15" x14ac:dyDescent="0.25">
      <c r="A42"/>
      <c r="B42"/>
      <c r="C42"/>
      <c r="D42" s="649"/>
      <c r="E42"/>
    </row>
    <row r="43" spans="1:5" ht="15" x14ac:dyDescent="0.25">
      <c r="A43"/>
      <c r="B43"/>
      <c r="C43"/>
      <c r="D43" s="649"/>
      <c r="E43"/>
    </row>
    <row r="44" spans="1:5" ht="15" x14ac:dyDescent="0.25">
      <c r="A44"/>
      <c r="B44"/>
      <c r="C44"/>
      <c r="D44" s="649"/>
      <c r="E44"/>
    </row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30"/>
  <sheetViews>
    <sheetView showGridLines="0" zoomScale="85" zoomScaleNormal="85" workbookViewId="0">
      <selection activeCell="M29" sqref="M29"/>
    </sheetView>
  </sheetViews>
  <sheetFormatPr defaultRowHeight="15" x14ac:dyDescent="0.25"/>
  <cols>
    <col min="1" max="1" width="6" customWidth="1"/>
    <col min="2" max="2" width="33.140625" bestFit="1" customWidth="1"/>
    <col min="3" max="3" width="8.7109375" bestFit="1" customWidth="1"/>
    <col min="4" max="4" width="5.28515625" bestFit="1" customWidth="1"/>
    <col min="5" max="5" width="6.140625" bestFit="1" customWidth="1"/>
    <col min="6" max="6" width="5.42578125" bestFit="1" customWidth="1"/>
    <col min="7" max="7" width="4.5703125" bestFit="1" customWidth="1"/>
    <col min="8" max="8" width="8.42578125" bestFit="1" customWidth="1"/>
    <col min="9" max="9" width="1.28515625" customWidth="1"/>
    <col min="11" max="11" width="4.5703125" bestFit="1" customWidth="1"/>
    <col min="12" max="12" width="3.5703125" bestFit="1" customWidth="1"/>
    <col min="13" max="13" width="5.5703125" bestFit="1" customWidth="1"/>
    <col min="14" max="14" width="38.28515625" bestFit="1" customWidth="1"/>
    <col min="16" max="16" width="21" bestFit="1" customWidth="1"/>
    <col min="17" max="26" width="6.5703125" bestFit="1" customWidth="1"/>
    <col min="27" max="27" width="5.5703125" bestFit="1" customWidth="1"/>
  </cols>
  <sheetData>
    <row r="1" spans="1:27" ht="15.75" thickBot="1" x14ac:dyDescent="0.3">
      <c r="A1" s="173"/>
      <c r="B1" s="6"/>
    </row>
    <row r="2" spans="1:27" ht="15.75" thickBot="1" x14ac:dyDescent="0.3">
      <c r="A2" s="210" t="s">
        <v>218</v>
      </c>
      <c r="B2" s="211"/>
      <c r="C2" s="212"/>
      <c r="D2" s="213"/>
      <c r="E2" s="214" t="s">
        <v>219</v>
      </c>
      <c r="F2" s="215" t="s">
        <v>220</v>
      </c>
      <c r="G2" s="215" t="s">
        <v>311</v>
      </c>
      <c r="H2" s="216" t="s">
        <v>221</v>
      </c>
      <c r="J2" s="217" t="s">
        <v>222</v>
      </c>
      <c r="M2" s="702" t="s">
        <v>223</v>
      </c>
      <c r="N2" s="703"/>
      <c r="P2" s="218" t="s">
        <v>224</v>
      </c>
      <c r="Q2" s="212"/>
      <c r="R2" s="212"/>
      <c r="S2" s="212"/>
      <c r="T2" s="212"/>
      <c r="U2" s="212"/>
      <c r="V2" s="212"/>
      <c r="W2" s="212"/>
      <c r="X2" s="212"/>
      <c r="Y2" s="212"/>
      <c r="Z2" s="212"/>
      <c r="AA2" s="219" t="s">
        <v>222</v>
      </c>
    </row>
    <row r="3" spans="1:27" ht="15.75" thickBot="1" x14ac:dyDescent="0.3">
      <c r="A3" s="381"/>
      <c r="B3" s="382" t="s">
        <v>225</v>
      </c>
      <c r="C3" s="383" t="s">
        <v>430</v>
      </c>
      <c r="D3" s="384" t="s">
        <v>31</v>
      </c>
      <c r="E3" s="379">
        <f>E20</f>
        <v>26.593800000000002</v>
      </c>
      <c r="F3" s="379">
        <f>F20</f>
        <v>7.8467000000000011</v>
      </c>
      <c r="G3" s="379">
        <f>G20</f>
        <v>3.5814999999999997</v>
      </c>
      <c r="H3" s="385">
        <f>SUM(E3:G3)</f>
        <v>38.021999999999998</v>
      </c>
      <c r="J3" s="388">
        <f>SUM(H3:H3)*(1+M3)</f>
        <v>41.824200000000005</v>
      </c>
      <c r="M3" s="389" t="s">
        <v>226</v>
      </c>
      <c r="N3" s="390" t="s">
        <v>227</v>
      </c>
      <c r="P3" s="224" t="s">
        <v>228</v>
      </c>
      <c r="Q3" s="225" t="s">
        <v>31</v>
      </c>
      <c r="R3" s="226"/>
      <c r="S3" s="227"/>
      <c r="T3" s="227"/>
      <c r="U3" s="371"/>
      <c r="V3" s="371"/>
      <c r="W3" s="371"/>
      <c r="X3" s="371"/>
      <c r="Y3" s="371"/>
      <c r="Z3" s="371"/>
      <c r="AA3" s="228">
        <f>SUM(P4:AA30)</f>
        <v>38.02200000000002</v>
      </c>
    </row>
    <row r="4" spans="1:27" ht="15.75" thickBot="1" x14ac:dyDescent="0.3">
      <c r="A4" s="173"/>
      <c r="B4" s="6"/>
      <c r="P4" s="231" t="s">
        <v>312</v>
      </c>
      <c r="Q4" s="232"/>
      <c r="R4" s="232"/>
      <c r="S4" s="232"/>
      <c r="T4" s="232"/>
      <c r="U4" s="372"/>
      <c r="V4" s="372"/>
      <c r="W4" s="372"/>
      <c r="X4" s="372"/>
      <c r="Y4" s="372"/>
      <c r="Z4" s="372"/>
      <c r="AA4" s="233"/>
    </row>
    <row r="5" spans="1:27" ht="15.75" thickBot="1" x14ac:dyDescent="0.3">
      <c r="A5" s="210" t="s">
        <v>230</v>
      </c>
      <c r="B5" s="211"/>
      <c r="C5" s="212"/>
      <c r="D5" s="213"/>
      <c r="E5" s="214" t="s">
        <v>219</v>
      </c>
      <c r="F5" s="215" t="s">
        <v>220</v>
      </c>
      <c r="G5" s="215" t="s">
        <v>311</v>
      </c>
      <c r="H5" s="216" t="s">
        <v>222</v>
      </c>
      <c r="J5" s="217" t="s">
        <v>222</v>
      </c>
      <c r="M5" s="702" t="s">
        <v>223</v>
      </c>
      <c r="N5" s="703"/>
      <c r="P5" s="234"/>
      <c r="Q5" s="235"/>
      <c r="R5" s="235"/>
      <c r="S5" s="235"/>
      <c r="T5" s="235">
        <v>0.96409999999999996</v>
      </c>
      <c r="U5" s="373">
        <v>0.96530000000000005</v>
      </c>
      <c r="V5" s="373">
        <v>0.96599999999999997</v>
      </c>
      <c r="W5" s="373"/>
      <c r="X5" s="373"/>
      <c r="Y5" s="373"/>
      <c r="Z5" s="373"/>
      <c r="AA5" s="236"/>
    </row>
    <row r="6" spans="1:27" ht="15.75" thickBot="1" x14ac:dyDescent="0.3">
      <c r="A6" s="345"/>
      <c r="B6" s="391" t="s">
        <v>225</v>
      </c>
      <c r="C6" s="383" t="s">
        <v>430</v>
      </c>
      <c r="D6" s="393" t="s">
        <v>31</v>
      </c>
      <c r="E6" s="394">
        <f>E20</f>
        <v>26.593800000000002</v>
      </c>
      <c r="F6" s="394">
        <f>F20</f>
        <v>7.8467000000000011</v>
      </c>
      <c r="G6" s="394">
        <f>G20</f>
        <v>3.5814999999999997</v>
      </c>
      <c r="H6" s="395">
        <f>SUM(E6:G6)*(1+M6)</f>
        <v>41.824200000000005</v>
      </c>
      <c r="J6" s="388">
        <f>SUM(H6:H6)*(1+M6)</f>
        <v>46.006620000000012</v>
      </c>
      <c r="M6" s="389" t="s">
        <v>226</v>
      </c>
      <c r="N6" s="390" t="s">
        <v>227</v>
      </c>
      <c r="P6" s="234">
        <v>1.417</v>
      </c>
      <c r="Q6" s="235">
        <v>0.80010000000000003</v>
      </c>
      <c r="R6" s="235">
        <v>0.2591</v>
      </c>
      <c r="S6" s="235">
        <v>9.0399999999999994E-2</v>
      </c>
      <c r="T6" s="235">
        <v>0.14899999999999999</v>
      </c>
      <c r="U6" s="373">
        <v>0.14269999999999999</v>
      </c>
      <c r="V6" s="373">
        <v>0.14460000000000001</v>
      </c>
      <c r="W6" s="373">
        <v>1.0891999999999999</v>
      </c>
      <c r="X6" s="373">
        <v>1.4216</v>
      </c>
      <c r="Y6" s="373"/>
      <c r="Z6" s="373"/>
      <c r="AA6" s="236"/>
    </row>
    <row r="7" spans="1:27" ht="15.75" thickBot="1" x14ac:dyDescent="0.3">
      <c r="A7" s="173"/>
      <c r="B7" s="237"/>
      <c r="P7" s="234"/>
      <c r="Q7" s="235"/>
      <c r="R7" s="235"/>
      <c r="S7" s="235">
        <v>0.86919999999999997</v>
      </c>
      <c r="T7" s="235">
        <v>0.314</v>
      </c>
      <c r="U7" s="373">
        <v>0.83989999999999998</v>
      </c>
      <c r="V7" s="373">
        <v>0.83989999999999998</v>
      </c>
      <c r="W7" s="373">
        <v>0.5373</v>
      </c>
      <c r="X7" s="373">
        <v>0.1646</v>
      </c>
      <c r="Y7" s="373"/>
      <c r="Z7" s="373"/>
      <c r="AA7" s="236"/>
    </row>
    <row r="8" spans="1:27" ht="15.75" thickBot="1" x14ac:dyDescent="0.3">
      <c r="A8" s="210" t="s">
        <v>231</v>
      </c>
      <c r="B8" s="211"/>
      <c r="C8" s="212"/>
      <c r="D8" s="213"/>
      <c r="E8" s="215" t="s">
        <v>219</v>
      </c>
      <c r="F8" s="215" t="s">
        <v>220</v>
      </c>
      <c r="G8" s="215" t="s">
        <v>311</v>
      </c>
      <c r="H8" s="216" t="s">
        <v>222</v>
      </c>
      <c r="J8" s="238" t="s">
        <v>36</v>
      </c>
      <c r="K8" s="700" t="s">
        <v>232</v>
      </c>
      <c r="L8" s="701"/>
      <c r="N8" s="240" t="s">
        <v>223</v>
      </c>
      <c r="P8" s="368"/>
      <c r="Q8" s="369"/>
      <c r="R8" s="369"/>
      <c r="S8" s="369"/>
      <c r="T8" s="369"/>
      <c r="U8" s="374"/>
      <c r="V8" s="374"/>
      <c r="W8" s="374"/>
      <c r="X8" s="374"/>
      <c r="Y8" s="374"/>
      <c r="Z8" s="374"/>
      <c r="AA8" s="370"/>
    </row>
    <row r="9" spans="1:27" x14ac:dyDescent="0.25">
      <c r="A9" s="220" t="s">
        <v>233</v>
      </c>
      <c r="B9" s="221" t="s">
        <v>234</v>
      </c>
      <c r="C9" s="222" t="s">
        <v>235</v>
      </c>
      <c r="D9" s="223" t="s">
        <v>1</v>
      </c>
      <c r="E9" s="241">
        <f>(3*1)+(3*2)</f>
        <v>9</v>
      </c>
      <c r="F9" s="241">
        <f>1*2+1*1</f>
        <v>3</v>
      </c>
      <c r="G9" s="241">
        <f>1*2</f>
        <v>2</v>
      </c>
      <c r="H9" s="242">
        <f t="shared" ref="H9:H15" si="0">SUM(E9:G9)</f>
        <v>14</v>
      </c>
      <c r="J9" s="243">
        <v>14</v>
      </c>
      <c r="K9" s="241">
        <f t="shared" ref="K9:K12" si="1">J9-H9</f>
        <v>0</v>
      </c>
      <c r="L9" s="244">
        <f t="shared" ref="L9:L15" si="2">K9/J9</f>
        <v>0</v>
      </c>
      <c r="N9" s="245" t="s">
        <v>236</v>
      </c>
      <c r="P9" s="231" t="s">
        <v>313</v>
      </c>
      <c r="Q9" s="232"/>
      <c r="R9" s="232"/>
      <c r="S9" s="232"/>
      <c r="T9" s="232"/>
      <c r="U9" s="372"/>
      <c r="V9" s="372"/>
      <c r="W9" s="372"/>
      <c r="X9" s="372"/>
      <c r="Y9" s="372"/>
      <c r="Z9" s="372"/>
      <c r="AA9" s="233"/>
    </row>
    <row r="10" spans="1:27" x14ac:dyDescent="0.25">
      <c r="A10" s="246" t="s">
        <v>237</v>
      </c>
      <c r="B10" s="247" t="s">
        <v>238</v>
      </c>
      <c r="C10" s="248" t="s">
        <v>239</v>
      </c>
      <c r="D10" s="249" t="s">
        <v>1</v>
      </c>
      <c r="E10" s="250">
        <f>4+3</f>
        <v>7</v>
      </c>
      <c r="F10" s="250">
        <f>3</f>
        <v>3</v>
      </c>
      <c r="G10" s="250">
        <v>3</v>
      </c>
      <c r="H10" s="251">
        <f t="shared" si="0"/>
        <v>13</v>
      </c>
      <c r="J10" s="252">
        <v>13</v>
      </c>
      <c r="K10" s="250">
        <f t="shared" si="1"/>
        <v>0</v>
      </c>
      <c r="L10" s="253">
        <f t="shared" si="2"/>
        <v>0</v>
      </c>
      <c r="N10" s="245"/>
      <c r="P10" s="234">
        <v>5.5500000000000001E-2</v>
      </c>
      <c r="Q10" s="235">
        <v>2.5160999999999998</v>
      </c>
      <c r="R10" s="235">
        <v>8.5699999999999998E-2</v>
      </c>
      <c r="S10" s="235">
        <v>8.0100000000000005E-2</v>
      </c>
      <c r="T10" s="235">
        <v>0.64319999999999999</v>
      </c>
      <c r="U10" s="373"/>
      <c r="V10" s="373">
        <v>0.8649</v>
      </c>
      <c r="W10" s="373"/>
      <c r="X10" s="373"/>
      <c r="Y10" s="373"/>
      <c r="Z10" s="373"/>
      <c r="AA10" s="236"/>
    </row>
    <row r="11" spans="1:27" x14ac:dyDescent="0.25">
      <c r="A11" s="220" t="s">
        <v>240</v>
      </c>
      <c r="B11" s="221" t="s">
        <v>241</v>
      </c>
      <c r="C11" s="222">
        <v>25</v>
      </c>
      <c r="D11" s="223" t="s">
        <v>1</v>
      </c>
      <c r="E11" s="241">
        <f>3+8+7</f>
        <v>18</v>
      </c>
      <c r="F11" s="241">
        <v>7</v>
      </c>
      <c r="G11" s="241">
        <v>2</v>
      </c>
      <c r="H11" s="242">
        <f t="shared" si="0"/>
        <v>27</v>
      </c>
      <c r="J11" s="243">
        <v>27</v>
      </c>
      <c r="K11" s="241">
        <f t="shared" si="1"/>
        <v>0</v>
      </c>
      <c r="L11" s="244">
        <f t="shared" si="2"/>
        <v>0</v>
      </c>
      <c r="N11" s="245"/>
      <c r="P11" s="234">
        <v>1.1444000000000001</v>
      </c>
      <c r="Q11" s="235"/>
      <c r="R11" s="235"/>
      <c r="S11" s="235"/>
      <c r="T11" s="235">
        <v>5.5500000000000001E-2</v>
      </c>
      <c r="U11" s="373"/>
      <c r="V11" s="373">
        <v>1.2592000000000001</v>
      </c>
      <c r="W11" s="373">
        <v>0.10009999999999999</v>
      </c>
      <c r="X11" s="373">
        <v>0.57250000000000001</v>
      </c>
      <c r="Y11" s="373">
        <v>0.57669999999999999</v>
      </c>
      <c r="Z11" s="373">
        <v>0.36919999999999997</v>
      </c>
      <c r="AA11" s="236"/>
    </row>
    <row r="12" spans="1:27" x14ac:dyDescent="0.25">
      <c r="A12" s="246" t="s">
        <v>309</v>
      </c>
      <c r="B12" s="247" t="s">
        <v>310</v>
      </c>
      <c r="C12" s="248">
        <v>25</v>
      </c>
      <c r="D12" s="249" t="s">
        <v>1</v>
      </c>
      <c r="E12" s="250">
        <v>1</v>
      </c>
      <c r="F12" s="250">
        <v>1</v>
      </c>
      <c r="G12" s="250">
        <v>1</v>
      </c>
      <c r="H12" s="251">
        <f t="shared" si="0"/>
        <v>3</v>
      </c>
      <c r="J12" s="252">
        <v>3</v>
      </c>
      <c r="K12" s="250">
        <f t="shared" si="1"/>
        <v>0</v>
      </c>
      <c r="L12" s="253">
        <f t="shared" si="2"/>
        <v>0</v>
      </c>
      <c r="N12" s="245"/>
      <c r="P12" s="234"/>
      <c r="Q12" s="235"/>
      <c r="R12" s="235"/>
      <c r="S12" s="235"/>
      <c r="T12" s="235">
        <v>0.36549999999999999</v>
      </c>
      <c r="U12" s="373"/>
      <c r="V12" s="373"/>
      <c r="W12" s="373"/>
      <c r="X12" s="373"/>
      <c r="Y12" s="373"/>
      <c r="Z12" s="373">
        <v>6.9800000000000001E-2</v>
      </c>
      <c r="AA12" s="236"/>
    </row>
    <row r="13" spans="1:27" x14ac:dyDescent="0.25">
      <c r="A13" s="220" t="s">
        <v>243</v>
      </c>
      <c r="B13" s="221" t="s">
        <v>244</v>
      </c>
      <c r="C13" s="222" t="s">
        <v>239</v>
      </c>
      <c r="D13" s="223" t="s">
        <v>1</v>
      </c>
      <c r="E13" s="241">
        <f>3+3</f>
        <v>6</v>
      </c>
      <c r="F13" s="241">
        <v>2</v>
      </c>
      <c r="G13" s="241">
        <f>1</f>
        <v>1</v>
      </c>
      <c r="H13" s="242">
        <f t="shared" si="0"/>
        <v>9</v>
      </c>
      <c r="J13" s="243">
        <v>9</v>
      </c>
      <c r="K13" s="241">
        <f t="shared" ref="K13:K15" si="3">J13-H13</f>
        <v>0</v>
      </c>
      <c r="L13" s="244">
        <f t="shared" si="2"/>
        <v>0</v>
      </c>
      <c r="N13" s="245"/>
      <c r="P13" s="234"/>
      <c r="Q13" s="235"/>
      <c r="R13" s="235"/>
      <c r="S13" s="235">
        <v>0.34810000000000002</v>
      </c>
      <c r="T13" s="235"/>
      <c r="U13" s="373">
        <v>0.31940000000000002</v>
      </c>
      <c r="V13" s="373"/>
      <c r="W13" s="373"/>
      <c r="X13" s="373"/>
      <c r="Y13" s="373"/>
      <c r="Z13" s="373"/>
      <c r="AA13" s="236"/>
    </row>
    <row r="14" spans="1:27" x14ac:dyDescent="0.25">
      <c r="A14" s="246" t="s">
        <v>245</v>
      </c>
      <c r="B14" s="247" t="s">
        <v>246</v>
      </c>
      <c r="C14" s="248">
        <v>25</v>
      </c>
      <c r="D14" s="249" t="s">
        <v>1</v>
      </c>
      <c r="E14" s="250">
        <f>3+3</f>
        <v>6</v>
      </c>
      <c r="F14" s="250">
        <v>2</v>
      </c>
      <c r="G14" s="250">
        <v>2</v>
      </c>
      <c r="H14" s="251">
        <f t="shared" si="0"/>
        <v>10</v>
      </c>
      <c r="J14" s="252">
        <v>10</v>
      </c>
      <c r="K14" s="250">
        <f t="shared" si="3"/>
        <v>0</v>
      </c>
      <c r="L14" s="253">
        <f t="shared" si="2"/>
        <v>0</v>
      </c>
      <c r="N14" s="245"/>
      <c r="P14" s="234"/>
      <c r="Q14" s="235"/>
      <c r="R14" s="235"/>
      <c r="S14" s="235">
        <v>0.1633</v>
      </c>
      <c r="T14" s="235"/>
      <c r="U14" s="373">
        <v>0.16420000000000001</v>
      </c>
      <c r="V14" s="373"/>
      <c r="W14" s="373"/>
      <c r="X14" s="373"/>
      <c r="Y14" s="373"/>
      <c r="Z14" s="373"/>
      <c r="AA14" s="236"/>
    </row>
    <row r="15" spans="1:27" ht="15.75" thickBot="1" x14ac:dyDescent="0.3">
      <c r="A15" s="220" t="s">
        <v>307</v>
      </c>
      <c r="B15" s="221" t="s">
        <v>308</v>
      </c>
      <c r="C15" s="222" t="s">
        <v>235</v>
      </c>
      <c r="D15" s="223" t="s">
        <v>1</v>
      </c>
      <c r="E15" s="241">
        <v>3</v>
      </c>
      <c r="F15" s="241">
        <v>1</v>
      </c>
      <c r="G15" s="241"/>
      <c r="H15" s="242">
        <f t="shared" si="0"/>
        <v>4</v>
      </c>
      <c r="J15" s="243">
        <v>4</v>
      </c>
      <c r="K15" s="241">
        <f t="shared" si="3"/>
        <v>0</v>
      </c>
      <c r="L15" s="244">
        <f t="shared" si="2"/>
        <v>0</v>
      </c>
      <c r="N15" s="245"/>
      <c r="P15" s="234"/>
      <c r="Q15" s="235">
        <v>0.13150000000000001</v>
      </c>
      <c r="R15" s="235"/>
      <c r="S15" s="235"/>
      <c r="T15" s="235"/>
      <c r="U15" s="373"/>
      <c r="V15" s="373"/>
      <c r="W15" s="373"/>
      <c r="X15" s="373"/>
      <c r="Y15" s="373"/>
      <c r="Z15" s="373"/>
      <c r="AA15" s="236"/>
    </row>
    <row r="16" spans="1:27" ht="15.75" thickBot="1" x14ac:dyDescent="0.3">
      <c r="A16" s="210" t="s">
        <v>247</v>
      </c>
      <c r="B16" s="212"/>
      <c r="C16" s="212"/>
      <c r="D16" s="213"/>
      <c r="E16" s="215" t="s">
        <v>219</v>
      </c>
      <c r="F16" s="215" t="s">
        <v>220</v>
      </c>
      <c r="G16" s="215" t="s">
        <v>311</v>
      </c>
      <c r="H16" s="216" t="s">
        <v>222</v>
      </c>
      <c r="J16" s="238" t="s">
        <v>36</v>
      </c>
      <c r="K16" s="700" t="s">
        <v>232</v>
      </c>
      <c r="L16" s="701"/>
      <c r="N16" s="240" t="s">
        <v>223</v>
      </c>
      <c r="P16" s="234"/>
      <c r="Q16" s="235">
        <v>1.5591999999999999</v>
      </c>
      <c r="R16" s="235">
        <v>3.7699999999999997E-2</v>
      </c>
      <c r="S16" s="235">
        <v>0.83930000000000005</v>
      </c>
      <c r="T16" s="235">
        <v>0.1043</v>
      </c>
      <c r="U16" s="373">
        <v>1.0373000000000001</v>
      </c>
      <c r="V16" s="373">
        <v>1.1571</v>
      </c>
      <c r="W16" s="373"/>
      <c r="X16" s="373"/>
      <c r="Y16" s="373"/>
      <c r="Z16" s="373"/>
      <c r="AA16" s="236"/>
    </row>
    <row r="17" spans="1:27" ht="15.75" thickBot="1" x14ac:dyDescent="0.3">
      <c r="A17" s="220" t="s">
        <v>248</v>
      </c>
      <c r="B17" s="221" t="s">
        <v>249</v>
      </c>
      <c r="C17" s="222" t="s">
        <v>250</v>
      </c>
      <c r="D17" s="223" t="s">
        <v>1</v>
      </c>
      <c r="E17" s="241">
        <f>2+1</f>
        <v>3</v>
      </c>
      <c r="F17" s="241">
        <v>1</v>
      </c>
      <c r="G17" s="241">
        <v>1</v>
      </c>
      <c r="H17" s="242">
        <f>SUM(E17:G17)</f>
        <v>5</v>
      </c>
      <c r="J17" s="243">
        <v>5</v>
      </c>
      <c r="K17" s="241">
        <f>J17-H17</f>
        <v>0</v>
      </c>
      <c r="L17" s="244">
        <f>K17/J17</f>
        <v>0</v>
      </c>
      <c r="N17" s="245"/>
      <c r="P17" s="368"/>
      <c r="Q17" s="369"/>
      <c r="R17" s="369"/>
      <c r="S17" s="369"/>
      <c r="T17" s="369"/>
      <c r="U17" s="374"/>
      <c r="V17" s="374"/>
      <c r="W17" s="374"/>
      <c r="X17" s="374"/>
      <c r="Y17" s="374"/>
      <c r="Z17" s="374"/>
      <c r="AA17" s="370"/>
    </row>
    <row r="18" spans="1:27" ht="16.5" thickTop="1" thickBot="1" x14ac:dyDescent="0.3">
      <c r="A18" s="246" t="s">
        <v>305</v>
      </c>
      <c r="B18" s="247" t="s">
        <v>306</v>
      </c>
      <c r="C18" s="248" t="s">
        <v>250</v>
      </c>
      <c r="D18" s="249" t="s">
        <v>1</v>
      </c>
      <c r="E18" s="250">
        <v>3</v>
      </c>
      <c r="F18" s="250">
        <v>1</v>
      </c>
      <c r="G18" s="250"/>
      <c r="H18" s="251">
        <f>SUM(E18:G18)</f>
        <v>4</v>
      </c>
      <c r="J18" s="252">
        <v>4</v>
      </c>
      <c r="K18" s="250">
        <f>J18-H18</f>
        <v>0</v>
      </c>
      <c r="L18" s="253">
        <f>K18/J18</f>
        <v>0</v>
      </c>
      <c r="N18" s="367"/>
      <c r="P18" s="231" t="s">
        <v>242</v>
      </c>
      <c r="Q18" s="232"/>
      <c r="R18" s="232"/>
      <c r="S18" s="232"/>
      <c r="T18" s="232"/>
      <c r="U18" s="372"/>
      <c r="V18" s="372"/>
      <c r="W18" s="372"/>
      <c r="X18" s="372"/>
      <c r="Y18" s="372"/>
      <c r="Z18" s="372"/>
      <c r="AA18" s="233"/>
    </row>
    <row r="19" spans="1:27" ht="15.75" thickBot="1" x14ac:dyDescent="0.3">
      <c r="A19" s="210" t="s">
        <v>251</v>
      </c>
      <c r="B19" s="211"/>
      <c r="C19" s="212"/>
      <c r="D19" s="213"/>
      <c r="E19" s="215" t="s">
        <v>219</v>
      </c>
      <c r="F19" s="215" t="s">
        <v>220</v>
      </c>
      <c r="G19" s="215" t="s">
        <v>311</v>
      </c>
      <c r="H19" s="216" t="s">
        <v>222</v>
      </c>
      <c r="J19" s="238" t="s">
        <v>36</v>
      </c>
      <c r="K19" s="700" t="s">
        <v>232</v>
      </c>
      <c r="L19" s="701"/>
      <c r="N19" s="240" t="s">
        <v>223</v>
      </c>
      <c r="P19" s="259">
        <v>0.48680000000000001</v>
      </c>
      <c r="Q19" s="235"/>
      <c r="R19" s="235"/>
      <c r="S19" s="235"/>
      <c r="T19" s="235"/>
      <c r="U19" s="373"/>
      <c r="V19" s="373"/>
      <c r="W19" s="373"/>
      <c r="X19" s="373"/>
      <c r="Y19" s="373"/>
      <c r="Z19" s="373"/>
      <c r="AA19" s="236"/>
    </row>
    <row r="20" spans="1:27" ht="15.75" thickBot="1" x14ac:dyDescent="0.3">
      <c r="A20" s="381"/>
      <c r="B20" s="382" t="s">
        <v>225</v>
      </c>
      <c r="C20" s="383">
        <v>25</v>
      </c>
      <c r="D20" s="384" t="s">
        <v>31</v>
      </c>
      <c r="E20" s="379">
        <f>SUM(P5:AA8,P10:AA17)</f>
        <v>26.593800000000002</v>
      </c>
      <c r="F20" s="379">
        <f>SUM(P19:AA25)</f>
        <v>7.8467000000000011</v>
      </c>
      <c r="G20" s="379">
        <f>SUM(P27:AA31)</f>
        <v>3.5814999999999997</v>
      </c>
      <c r="H20" s="385">
        <f>SUM(E20:G20)</f>
        <v>38.021999999999998</v>
      </c>
      <c r="J20" s="378">
        <v>38.049999999999997</v>
      </c>
      <c r="K20" s="379">
        <f>J20-H20</f>
        <v>2.7999999999998693E-2</v>
      </c>
      <c r="L20" s="380">
        <f>K20/J20</f>
        <v>7.358738501970748E-4</v>
      </c>
      <c r="N20" s="377"/>
      <c r="P20" s="234">
        <v>1.2586999999999999</v>
      </c>
      <c r="Q20" s="235"/>
      <c r="R20" s="235"/>
      <c r="S20" s="235"/>
      <c r="T20" s="235"/>
      <c r="U20" s="373"/>
      <c r="V20" s="373"/>
      <c r="W20" s="373"/>
      <c r="X20" s="373"/>
      <c r="Y20" s="373"/>
      <c r="Z20" s="373"/>
      <c r="AA20" s="236"/>
    </row>
    <row r="21" spans="1:27" x14ac:dyDescent="0.25">
      <c r="P21" s="234">
        <v>7.1199999999999999E-2</v>
      </c>
      <c r="Q21" s="235">
        <v>0.16250000000000001</v>
      </c>
      <c r="R21" s="235"/>
      <c r="S21" s="235">
        <v>0.70369999999999999</v>
      </c>
      <c r="T21" s="235"/>
      <c r="U21" s="373">
        <v>0.93420000000000003</v>
      </c>
      <c r="V21" s="373"/>
      <c r="W21" s="373"/>
      <c r="X21" s="373"/>
      <c r="Y21" s="373"/>
      <c r="Z21" s="373"/>
      <c r="AA21" s="236"/>
    </row>
    <row r="22" spans="1:27" x14ac:dyDescent="0.25">
      <c r="P22" s="259"/>
      <c r="Q22" s="235"/>
      <c r="R22" s="235">
        <v>5.5500000000000001E-2</v>
      </c>
      <c r="S22" s="235">
        <v>0.97870000000000001</v>
      </c>
      <c r="T22" s="235"/>
      <c r="U22" s="373">
        <v>0.14810000000000001</v>
      </c>
      <c r="V22" s="373"/>
      <c r="W22" s="373"/>
      <c r="X22" s="373"/>
      <c r="Y22" s="373"/>
      <c r="Z22" s="373"/>
      <c r="AA22" s="236"/>
    </row>
    <row r="23" spans="1:27" x14ac:dyDescent="0.25">
      <c r="P23" s="259"/>
      <c r="Q23" s="235"/>
      <c r="R23" s="235">
        <v>1.5646</v>
      </c>
      <c r="S23" s="235"/>
      <c r="T23" s="235"/>
      <c r="U23" s="235">
        <v>0.40589999999999998</v>
      </c>
      <c r="V23" s="373"/>
      <c r="W23" s="373"/>
      <c r="X23" s="373"/>
      <c r="Y23" s="373"/>
      <c r="Z23" s="373"/>
      <c r="AA23" s="236"/>
    </row>
    <row r="24" spans="1:27" x14ac:dyDescent="0.25">
      <c r="P24" s="259"/>
      <c r="Q24" s="235">
        <v>0.11020000000000001</v>
      </c>
      <c r="R24" s="235">
        <v>0.16420000000000001</v>
      </c>
      <c r="S24" s="235">
        <v>0.54869999999999997</v>
      </c>
      <c r="T24" s="235">
        <v>0.1852</v>
      </c>
      <c r="U24" s="373">
        <v>6.8500000000000005E-2</v>
      </c>
      <c r="V24" s="373"/>
      <c r="W24" s="373"/>
      <c r="X24" s="373"/>
      <c r="Y24" s="373"/>
      <c r="Z24" s="373"/>
      <c r="AA24" s="236"/>
    </row>
    <row r="25" spans="1:27" ht="15.75" thickBot="1" x14ac:dyDescent="0.3">
      <c r="P25" s="254"/>
      <c r="Q25" s="256"/>
      <c r="R25" s="257"/>
      <c r="S25" s="257"/>
      <c r="T25" s="258"/>
      <c r="U25" s="375"/>
      <c r="V25" s="375"/>
      <c r="W25" s="375"/>
      <c r="X25" s="375"/>
      <c r="Y25" s="375"/>
      <c r="Z25" s="375"/>
      <c r="AA25" s="255"/>
    </row>
    <row r="26" spans="1:27" ht="15.75" thickTop="1" x14ac:dyDescent="0.25">
      <c r="P26" s="231" t="s">
        <v>108</v>
      </c>
      <c r="Q26" s="232"/>
      <c r="R26" s="232"/>
      <c r="S26" s="232"/>
      <c r="T26" s="232"/>
      <c r="U26" s="372"/>
      <c r="V26" s="372"/>
      <c r="W26" s="372"/>
      <c r="X26" s="372"/>
      <c r="Y26" s="372"/>
      <c r="Z26" s="372"/>
      <c r="AA26" s="233"/>
    </row>
    <row r="27" spans="1:27" x14ac:dyDescent="0.25">
      <c r="P27" s="259"/>
      <c r="Q27" s="235"/>
      <c r="R27" s="235"/>
      <c r="S27" s="235">
        <v>6.9199999999999998E-2</v>
      </c>
      <c r="T27" s="235"/>
      <c r="U27" s="373"/>
      <c r="V27" s="373"/>
      <c r="W27" s="373"/>
      <c r="X27" s="373"/>
      <c r="Y27" s="373"/>
      <c r="Z27" s="373"/>
      <c r="AA27" s="236"/>
    </row>
    <row r="28" spans="1:27" x14ac:dyDescent="0.25">
      <c r="P28" s="259">
        <v>1.2641</v>
      </c>
      <c r="Q28" s="235">
        <v>8.9300000000000004E-2</v>
      </c>
      <c r="R28" s="235">
        <v>1.7810999999999999</v>
      </c>
      <c r="S28" s="235">
        <v>6.1100000000000002E-2</v>
      </c>
      <c r="T28" s="235"/>
      <c r="U28" s="373"/>
      <c r="V28" s="373"/>
      <c r="W28" s="373"/>
      <c r="X28" s="373"/>
      <c r="Y28" s="373"/>
      <c r="Z28" s="373"/>
      <c r="AA28" s="236"/>
    </row>
    <row r="29" spans="1:27" x14ac:dyDescent="0.25">
      <c r="P29" s="259">
        <v>0.16869999999999999</v>
      </c>
      <c r="Q29" s="235">
        <v>7.7700000000000005E-2</v>
      </c>
      <c r="R29" s="235">
        <v>7.0300000000000001E-2</v>
      </c>
      <c r="S29" s="235"/>
      <c r="T29" s="235"/>
      <c r="U29" s="373"/>
      <c r="V29" s="373"/>
      <c r="W29" s="373"/>
      <c r="X29" s="373"/>
      <c r="Y29" s="373"/>
      <c r="Z29" s="373"/>
      <c r="AA29" s="236"/>
    </row>
    <row r="30" spans="1:27" ht="15.75" thickBot="1" x14ac:dyDescent="0.3">
      <c r="P30" s="386"/>
      <c r="Q30" s="387"/>
      <c r="R30" s="387"/>
      <c r="S30" s="260"/>
      <c r="T30" s="230"/>
      <c r="U30" s="376"/>
      <c r="V30" s="376"/>
      <c r="W30" s="376"/>
      <c r="X30" s="376"/>
      <c r="Y30" s="376"/>
      <c r="Z30" s="376"/>
      <c r="AA30" s="261"/>
    </row>
  </sheetData>
  <mergeCells count="5">
    <mergeCell ref="K19:L19"/>
    <mergeCell ref="M2:N2"/>
    <mergeCell ref="M5:N5"/>
    <mergeCell ref="K8:L8"/>
    <mergeCell ref="K16:L16"/>
  </mergeCells>
  <conditionalFormatting sqref="K9:L11">
    <cfRule type="cellIs" dxfId="46" priority="8" operator="equal">
      <formula>0</formula>
    </cfRule>
  </conditionalFormatting>
  <conditionalFormatting sqref="K14:L15">
    <cfRule type="cellIs" dxfId="45" priority="6" operator="equal">
      <formula>0</formula>
    </cfRule>
  </conditionalFormatting>
  <conditionalFormatting sqref="K12:L13">
    <cfRule type="cellIs" dxfId="44" priority="7" operator="equal">
      <formula>0</formula>
    </cfRule>
  </conditionalFormatting>
  <conditionalFormatting sqref="K20:L20">
    <cfRule type="cellIs" dxfId="43" priority="4" operator="equal">
      <formula>0</formula>
    </cfRule>
  </conditionalFormatting>
  <conditionalFormatting sqref="K18:L18">
    <cfRule type="cellIs" dxfId="42" priority="1" operator="equal">
      <formula>0</formula>
    </cfRule>
  </conditionalFormatting>
  <conditionalFormatting sqref="K17:L17">
    <cfRule type="cellIs" dxfId="41" priority="2" operator="equal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91"/>
  <sheetViews>
    <sheetView showGridLines="0" topLeftCell="A31" zoomScale="85" zoomScaleNormal="85" workbookViewId="0">
      <selection activeCell="O65" sqref="O65"/>
    </sheetView>
  </sheetViews>
  <sheetFormatPr defaultRowHeight="15" x14ac:dyDescent="0.25"/>
  <cols>
    <col min="1" max="1" width="4.28515625" style="173" customWidth="1"/>
    <col min="2" max="2" width="42.42578125" style="366" customWidth="1"/>
    <col min="3" max="3" width="15" style="173" bestFit="1" customWidth="1"/>
    <col min="4" max="4" width="5.28515625" style="173" customWidth="1"/>
    <col min="5" max="5" width="6.140625" style="173" bestFit="1" customWidth="1"/>
    <col min="6" max="6" width="6" style="173" bestFit="1" customWidth="1"/>
    <col min="7" max="7" width="5.7109375" style="173" bestFit="1" customWidth="1"/>
    <col min="8" max="8" width="7.140625" style="173" bestFit="1" customWidth="1"/>
    <col min="9" max="9" width="8.42578125" style="173" bestFit="1" customWidth="1"/>
    <col min="10" max="10" width="5.5703125" style="173" bestFit="1" customWidth="1"/>
    <col min="11" max="11" width="9.140625" style="173" bestFit="1" customWidth="1"/>
    <col min="12" max="12" width="5.28515625" style="173" bestFit="1" customWidth="1"/>
    <col min="13" max="13" width="4.28515625" style="173" bestFit="1" customWidth="1"/>
    <col min="14" max="14" width="5.7109375" style="173" bestFit="1" customWidth="1"/>
    <col min="15" max="15" width="25.140625" style="173" bestFit="1" customWidth="1"/>
    <col min="16" max="16" width="8.28515625" style="173" customWidth="1"/>
    <col min="17" max="17" width="12.85546875" style="173" bestFit="1" customWidth="1"/>
    <col min="18" max="29" width="6.7109375" style="173" bestFit="1" customWidth="1"/>
    <col min="30" max="30" width="6.5703125" style="173" customWidth="1"/>
    <col min="31" max="31" width="5.7109375" style="173" bestFit="1" customWidth="1"/>
    <col min="32" max="16384" width="9.140625" style="173"/>
  </cols>
  <sheetData>
    <row r="1" spans="1:31" ht="15.75" thickBot="1" x14ac:dyDescent="0.3">
      <c r="B1" s="173"/>
      <c r="Q1" s="218" t="s">
        <v>224</v>
      </c>
      <c r="R1" s="212"/>
      <c r="S1" s="212"/>
      <c r="T1" s="212"/>
      <c r="U1" s="212"/>
      <c r="V1" s="212"/>
      <c r="W1" s="212"/>
      <c r="X1" s="212"/>
      <c r="Y1" s="212"/>
      <c r="Z1" s="212"/>
      <c r="AA1" s="212"/>
      <c r="AB1" s="212"/>
      <c r="AC1" s="212"/>
      <c r="AD1" s="212"/>
      <c r="AE1" s="219" t="s">
        <v>222</v>
      </c>
    </row>
    <row r="2" spans="1:31" ht="15.75" thickBot="1" x14ac:dyDescent="0.3">
      <c r="A2" s="210" t="s">
        <v>252</v>
      </c>
      <c r="B2" s="211"/>
      <c r="C2" s="212"/>
      <c r="D2" s="213"/>
      <c r="E2" s="215" t="s">
        <v>219</v>
      </c>
      <c r="F2" s="215" t="s">
        <v>220</v>
      </c>
      <c r="G2" s="215" t="s">
        <v>311</v>
      </c>
      <c r="H2" s="215" t="s">
        <v>253</v>
      </c>
      <c r="I2" s="216" t="s">
        <v>222</v>
      </c>
      <c r="N2" s="702" t="s">
        <v>223</v>
      </c>
      <c r="O2" s="703"/>
      <c r="Q2" s="224" t="s">
        <v>254</v>
      </c>
      <c r="R2" s="262" t="s">
        <v>31</v>
      </c>
      <c r="S2" s="263"/>
      <c r="T2" s="264"/>
      <c r="U2" s="264"/>
      <c r="V2" s="264"/>
      <c r="W2" s="264"/>
      <c r="X2" s="265"/>
      <c r="Y2" s="265"/>
      <c r="Z2" s="265"/>
      <c r="AA2" s="265"/>
      <c r="AB2" s="265"/>
      <c r="AC2" s="265"/>
      <c r="AD2" s="265"/>
      <c r="AE2" s="266">
        <f>SUM(R3:AE21)</f>
        <v>14.099000000000002</v>
      </c>
    </row>
    <row r="3" spans="1:31" x14ac:dyDescent="0.25">
      <c r="A3" s="220"/>
      <c r="B3" s="267" t="s">
        <v>255</v>
      </c>
      <c r="C3" s="268" t="s">
        <v>256</v>
      </c>
      <c r="D3" s="269" t="s">
        <v>31</v>
      </c>
      <c r="E3" s="270">
        <f>SUM(R6)+SUM(W9)+SUM(R11:V13)</f>
        <v>6.0632000000000001</v>
      </c>
      <c r="F3" s="270">
        <f>SUM(S16:U17)</f>
        <v>1.8268</v>
      </c>
      <c r="G3" s="270">
        <f>SUM(S20)</f>
        <v>0.33660000000000001</v>
      </c>
      <c r="H3" s="271"/>
      <c r="I3" s="272"/>
      <c r="N3" s="273">
        <v>0.1</v>
      </c>
      <c r="O3" s="274" t="s">
        <v>227</v>
      </c>
      <c r="Q3" s="231" t="s">
        <v>229</v>
      </c>
      <c r="R3" s="275" t="s">
        <v>257</v>
      </c>
      <c r="S3" s="275" t="s">
        <v>258</v>
      </c>
      <c r="T3" s="275"/>
      <c r="U3" s="275"/>
      <c r="V3" s="275"/>
      <c r="W3" s="275"/>
      <c r="X3" s="276"/>
      <c r="Y3" s="276"/>
      <c r="Z3" s="276"/>
      <c r="AA3" s="276"/>
      <c r="AB3" s="276"/>
      <c r="AC3" s="276"/>
      <c r="AD3" s="276"/>
      <c r="AE3" s="277"/>
    </row>
    <row r="4" spans="1:31" x14ac:dyDescent="0.25">
      <c r="A4" s="246"/>
      <c r="B4" s="278" t="s">
        <v>255</v>
      </c>
      <c r="C4" s="279" t="s">
        <v>259</v>
      </c>
      <c r="D4" s="280" t="s">
        <v>31</v>
      </c>
      <c r="E4" s="168">
        <f>SUM(R25:X26)+SUM(R28:S28)</f>
        <v>4.3132999999999999</v>
      </c>
      <c r="F4" s="168">
        <f>SUM(R31:T31)</f>
        <v>0.89359999999999995</v>
      </c>
      <c r="G4" s="168">
        <f>SUM(R35:V35)</f>
        <v>1.5721000000000001</v>
      </c>
      <c r="H4" s="281">
        <f>SUM(R43:W44)</f>
        <v>7.6225000000000005</v>
      </c>
      <c r="I4" s="282"/>
      <c r="N4" s="283"/>
      <c r="O4" s="284"/>
      <c r="Q4" s="234"/>
      <c r="R4" s="286">
        <v>0.47</v>
      </c>
      <c r="S4" s="286"/>
      <c r="T4" s="286">
        <v>0.13980000000000001</v>
      </c>
      <c r="U4" s="286"/>
      <c r="V4" s="286"/>
      <c r="W4" s="286"/>
      <c r="X4" s="287"/>
      <c r="Y4" s="287"/>
      <c r="Z4" s="287"/>
      <c r="AA4" s="287"/>
      <c r="AB4" s="287"/>
      <c r="AC4" s="287"/>
      <c r="AD4" s="287"/>
      <c r="AE4" s="288"/>
    </row>
    <row r="5" spans="1:31" x14ac:dyDescent="0.25">
      <c r="A5" s="220"/>
      <c r="B5" s="289" t="s">
        <v>255</v>
      </c>
      <c r="C5" s="268" t="s">
        <v>260</v>
      </c>
      <c r="D5" s="269" t="s">
        <v>31</v>
      </c>
      <c r="E5" s="270">
        <f>SUM(Q49:AE54)</f>
        <v>4.6392999999999995</v>
      </c>
      <c r="F5" s="270">
        <f>SUM(Q61:AE62)</f>
        <v>1.8781000000000001</v>
      </c>
      <c r="G5" s="270">
        <f>SUM(Q56:AE59)</f>
        <v>5.3948</v>
      </c>
      <c r="H5" s="271"/>
      <c r="I5" s="272"/>
      <c r="N5" s="283"/>
      <c r="O5" s="284"/>
      <c r="Q5" s="285"/>
      <c r="R5" s="286"/>
      <c r="S5" s="286">
        <v>1.0663</v>
      </c>
      <c r="T5" s="286"/>
      <c r="U5" s="286"/>
      <c r="V5" s="286"/>
      <c r="W5" s="286"/>
      <c r="X5" s="287"/>
      <c r="Y5" s="287"/>
      <c r="Z5" s="287"/>
      <c r="AA5" s="287"/>
      <c r="AB5" s="287"/>
      <c r="AC5" s="287"/>
      <c r="AD5" s="287"/>
      <c r="AE5" s="288"/>
    </row>
    <row r="6" spans="1:31" ht="15.75" thickBot="1" x14ac:dyDescent="0.3">
      <c r="A6" s="290"/>
      <c r="B6" s="291" t="s">
        <v>255</v>
      </c>
      <c r="C6" s="292" t="s">
        <v>261</v>
      </c>
      <c r="D6" s="293" t="s">
        <v>31</v>
      </c>
      <c r="E6" s="294">
        <f>SUM(R68:S68)</f>
        <v>0.30069999999999997</v>
      </c>
      <c r="F6" s="294"/>
      <c r="G6" s="294">
        <f>SUM(R66)</f>
        <v>0.14499999999999999</v>
      </c>
      <c r="H6" s="295"/>
      <c r="I6" s="296"/>
      <c r="N6" s="283"/>
      <c r="O6" s="284"/>
      <c r="Q6" s="285"/>
      <c r="R6" s="515">
        <v>0.29870000000000002</v>
      </c>
      <c r="S6" s="286"/>
      <c r="T6" s="286"/>
      <c r="U6" s="286"/>
      <c r="V6" s="286"/>
      <c r="W6" s="286"/>
      <c r="X6" s="287"/>
      <c r="Y6" s="287"/>
      <c r="Z6" s="287"/>
      <c r="AA6" s="287"/>
      <c r="AB6" s="287"/>
      <c r="AC6" s="287"/>
      <c r="AD6" s="287"/>
      <c r="AE6" s="288"/>
    </row>
    <row r="7" spans="1:31" ht="15.75" thickTop="1" x14ac:dyDescent="0.25">
      <c r="A7" s="297"/>
      <c r="B7" s="298" t="s">
        <v>262</v>
      </c>
      <c r="C7" s="299">
        <v>0.2</v>
      </c>
      <c r="D7" s="300" t="s">
        <v>31</v>
      </c>
      <c r="E7" s="301"/>
      <c r="F7" s="301"/>
      <c r="G7" s="301"/>
      <c r="H7" s="302"/>
      <c r="I7" s="303"/>
      <c r="N7" s="283"/>
      <c r="O7" s="284"/>
      <c r="Q7" s="285"/>
      <c r="R7" s="286"/>
      <c r="S7" s="286"/>
      <c r="T7" s="286"/>
      <c r="U7" s="286">
        <v>0.1051</v>
      </c>
      <c r="V7" s="286">
        <v>8.5599999999999996E-2</v>
      </c>
      <c r="W7" s="286"/>
      <c r="X7" s="287"/>
      <c r="Y7" s="287"/>
      <c r="Z7" s="287"/>
      <c r="AA7" s="287"/>
      <c r="AB7" s="287"/>
      <c r="AC7" s="287"/>
      <c r="AD7" s="287"/>
      <c r="AE7" s="288"/>
    </row>
    <row r="8" spans="1:31" ht="15.75" thickBot="1" x14ac:dyDescent="0.3">
      <c r="A8" s="304"/>
      <c r="B8" s="305" t="s">
        <v>263</v>
      </c>
      <c r="C8" s="306">
        <v>0.6</v>
      </c>
      <c r="D8" s="307" t="s">
        <v>31</v>
      </c>
      <c r="E8" s="308"/>
      <c r="F8" s="308"/>
      <c r="G8" s="308"/>
      <c r="H8" s="309"/>
      <c r="I8" s="310"/>
      <c r="N8" s="283"/>
      <c r="O8" s="284"/>
      <c r="Q8" s="285"/>
      <c r="R8" s="286">
        <v>0.1333</v>
      </c>
      <c r="S8" s="286">
        <v>0.54</v>
      </c>
      <c r="T8" s="286">
        <v>0.43790000000000001</v>
      </c>
      <c r="U8" s="286">
        <v>1.2210000000000001</v>
      </c>
      <c r="V8" s="286"/>
      <c r="W8" s="287"/>
      <c r="X8" s="287"/>
      <c r="Y8" s="287"/>
      <c r="Z8" s="287"/>
      <c r="AA8" s="287"/>
      <c r="AB8" s="287"/>
      <c r="AC8" s="287"/>
      <c r="AD8" s="287"/>
      <c r="AE8" s="288"/>
    </row>
    <row r="9" spans="1:31" ht="15.75" thickTop="1" x14ac:dyDescent="0.25">
      <c r="A9" s="311"/>
      <c r="B9" s="312" t="s">
        <v>264</v>
      </c>
      <c r="C9" s="313">
        <f>SUM(E3:H6)*(1+N3)</f>
        <v>38.484600000000007</v>
      </c>
      <c r="D9" s="314" t="s">
        <v>31</v>
      </c>
      <c r="E9" s="315"/>
      <c r="F9" s="315"/>
      <c r="G9" s="315"/>
      <c r="H9" s="316"/>
      <c r="I9" s="317"/>
      <c r="N9" s="283"/>
      <c r="O9" s="284"/>
      <c r="Q9" s="285"/>
      <c r="R9" s="286"/>
      <c r="S9" s="286"/>
      <c r="T9" s="286"/>
      <c r="U9" s="286"/>
      <c r="V9" s="286">
        <v>0.50939999999999996</v>
      </c>
      <c r="W9" s="516">
        <v>0.46160000000000001</v>
      </c>
      <c r="X9" s="287"/>
      <c r="Y9" s="287"/>
      <c r="Z9" s="287"/>
      <c r="AA9" s="287"/>
      <c r="AB9" s="287"/>
      <c r="AC9" s="287"/>
      <c r="AD9" s="287"/>
      <c r="AE9" s="288"/>
    </row>
    <row r="10" spans="1:31" x14ac:dyDescent="0.25">
      <c r="A10" s="311"/>
      <c r="B10" s="312" t="s">
        <v>265</v>
      </c>
      <c r="C10" s="313">
        <f>C9*C7*C8</f>
        <v>4.6181520000000011</v>
      </c>
      <c r="D10" s="314" t="s">
        <v>266</v>
      </c>
      <c r="E10" s="315"/>
      <c r="F10" s="315"/>
      <c r="G10" s="315"/>
      <c r="H10" s="316"/>
      <c r="I10" s="317"/>
      <c r="N10" s="283"/>
      <c r="O10" s="284"/>
      <c r="Q10" s="285"/>
      <c r="R10" s="286"/>
      <c r="S10" s="286"/>
      <c r="T10" s="286"/>
      <c r="U10" s="286"/>
      <c r="V10" s="286"/>
      <c r="W10" s="286"/>
      <c r="X10" s="287"/>
      <c r="Y10" s="287"/>
      <c r="Z10" s="287"/>
      <c r="AA10" s="287"/>
      <c r="AB10" s="287"/>
      <c r="AC10" s="287"/>
      <c r="AD10" s="287"/>
      <c r="AE10" s="288"/>
    </row>
    <row r="11" spans="1:31" ht="15.75" thickBot="1" x14ac:dyDescent="0.3">
      <c r="A11" s="322"/>
      <c r="B11" s="323" t="s">
        <v>267</v>
      </c>
      <c r="C11" s="324">
        <f>C9*C7</f>
        <v>7.6969200000000022</v>
      </c>
      <c r="D11" s="325" t="s">
        <v>10</v>
      </c>
      <c r="E11" s="326"/>
      <c r="F11" s="326"/>
      <c r="G11" s="326"/>
      <c r="H11" s="327"/>
      <c r="I11" s="328"/>
      <c r="N11" s="329"/>
      <c r="O11" s="330"/>
      <c r="Q11" s="285"/>
      <c r="R11" s="515">
        <v>0.18640000000000001</v>
      </c>
      <c r="S11" s="515">
        <v>1.4185000000000001</v>
      </c>
      <c r="T11" s="515">
        <v>0.53969999999999996</v>
      </c>
      <c r="U11" s="515">
        <v>0.18229999999999999</v>
      </c>
      <c r="V11" s="515">
        <v>5.9900000000000002E-2</v>
      </c>
      <c r="W11" s="286"/>
      <c r="X11" s="287"/>
      <c r="Y11" s="287"/>
      <c r="Z11" s="287"/>
      <c r="AA11" s="287"/>
      <c r="AB11" s="287"/>
      <c r="AC11" s="287"/>
      <c r="AD11" s="287"/>
      <c r="AE11" s="288"/>
    </row>
    <row r="12" spans="1:31" ht="15.75" thickBot="1" x14ac:dyDescent="0.3">
      <c r="B12" s="173"/>
      <c r="Q12" s="285"/>
      <c r="R12" s="515">
        <v>6.1899999999999997E-2</v>
      </c>
      <c r="S12" s="515">
        <v>1.448</v>
      </c>
      <c r="T12" s="515">
        <v>0.2024</v>
      </c>
      <c r="U12" s="515">
        <v>6.0100000000000001E-2</v>
      </c>
      <c r="V12" s="287"/>
      <c r="W12" s="286"/>
      <c r="X12" s="287"/>
      <c r="Y12" s="287"/>
      <c r="Z12" s="287"/>
      <c r="AA12" s="287"/>
      <c r="AB12" s="287"/>
      <c r="AC12" s="287"/>
      <c r="AD12" s="287"/>
      <c r="AE12" s="288"/>
    </row>
    <row r="13" spans="1:31" ht="15.75" thickBot="1" x14ac:dyDescent="0.3">
      <c r="A13" s="210" t="s">
        <v>218</v>
      </c>
      <c r="B13" s="211"/>
      <c r="C13" s="212"/>
      <c r="D13" s="213" t="s">
        <v>31</v>
      </c>
      <c r="E13" s="215" t="s">
        <v>219</v>
      </c>
      <c r="F13" s="215" t="s">
        <v>220</v>
      </c>
      <c r="G13" s="215" t="s">
        <v>311</v>
      </c>
      <c r="H13" s="215" t="s">
        <v>253</v>
      </c>
      <c r="I13" s="219" t="s">
        <v>221</v>
      </c>
      <c r="K13" s="217" t="s">
        <v>222</v>
      </c>
      <c r="N13" s="702" t="s">
        <v>223</v>
      </c>
      <c r="O13" s="703"/>
      <c r="Q13" s="285"/>
      <c r="R13" s="515">
        <v>0.32500000000000001</v>
      </c>
      <c r="S13" s="515">
        <v>8.3500000000000005E-2</v>
      </c>
      <c r="T13" s="515">
        <v>0.2225</v>
      </c>
      <c r="U13" s="515">
        <v>0.20780000000000001</v>
      </c>
      <c r="V13" s="515">
        <v>0.3049</v>
      </c>
      <c r="W13" s="286"/>
      <c r="X13" s="287"/>
      <c r="Y13" s="287"/>
      <c r="Z13" s="287"/>
      <c r="AA13" s="287"/>
      <c r="AB13" s="287"/>
      <c r="AC13" s="287"/>
      <c r="AD13" s="287"/>
      <c r="AE13" s="288"/>
    </row>
    <row r="14" spans="1:31" ht="15.75" thickBot="1" x14ac:dyDescent="0.3">
      <c r="A14" s="220"/>
      <c r="B14" s="267" t="s">
        <v>255</v>
      </c>
      <c r="C14" s="268" t="s">
        <v>433</v>
      </c>
      <c r="D14" s="269" t="s">
        <v>31</v>
      </c>
      <c r="E14" s="270">
        <f t="shared" ref="E14:H17" si="0">E52</f>
        <v>10.771600000000001</v>
      </c>
      <c r="F14" s="270">
        <f t="shared" si="0"/>
        <v>2.3571</v>
      </c>
      <c r="G14" s="270">
        <f t="shared" si="0"/>
        <v>0.97030000000000005</v>
      </c>
      <c r="H14" s="271">
        <f t="shared" si="0"/>
        <v>0</v>
      </c>
      <c r="I14" s="331">
        <f>SUM(E14:H14)</f>
        <v>14.099000000000002</v>
      </c>
      <c r="K14" s="704">
        <f>SUM(I14:I17)*(1+N14)</f>
        <v>57.307030000000012</v>
      </c>
      <c r="N14" s="332" t="s">
        <v>226</v>
      </c>
      <c r="O14" s="274" t="s">
        <v>227</v>
      </c>
      <c r="Q14" s="334"/>
      <c r="R14" s="335"/>
      <c r="S14" s="335"/>
      <c r="T14" s="335"/>
      <c r="U14" s="335"/>
      <c r="V14" s="335"/>
      <c r="W14" s="335"/>
      <c r="X14" s="336"/>
      <c r="Y14" s="336"/>
      <c r="Z14" s="336"/>
      <c r="AA14" s="336"/>
      <c r="AB14" s="336"/>
      <c r="AC14" s="336"/>
      <c r="AD14" s="336"/>
      <c r="AE14" s="337"/>
    </row>
    <row r="15" spans="1:31" ht="15.75" thickTop="1" x14ac:dyDescent="0.25">
      <c r="A15" s="246"/>
      <c r="B15" s="278" t="s">
        <v>255</v>
      </c>
      <c r="C15" s="279" t="s">
        <v>432</v>
      </c>
      <c r="D15" s="280" t="s">
        <v>31</v>
      </c>
      <c r="E15" s="168">
        <f t="shared" si="0"/>
        <v>4.3132999999999999</v>
      </c>
      <c r="F15" s="168">
        <f t="shared" si="0"/>
        <v>0.89359999999999995</v>
      </c>
      <c r="G15" s="168">
        <f t="shared" si="0"/>
        <v>1.5721000000000001</v>
      </c>
      <c r="H15" s="281">
        <f t="shared" si="0"/>
        <v>18.861400000000003</v>
      </c>
      <c r="I15" s="333">
        <f>SUM(E15:H15)</f>
        <v>25.640400000000003</v>
      </c>
      <c r="K15" s="705"/>
      <c r="N15" s="283"/>
      <c r="O15" s="284"/>
      <c r="Q15" s="231" t="s">
        <v>242</v>
      </c>
      <c r="R15" s="275"/>
      <c r="S15" s="275"/>
      <c r="T15" s="275"/>
      <c r="U15" s="275"/>
      <c r="V15" s="275"/>
      <c r="W15" s="275"/>
      <c r="X15" s="276"/>
      <c r="Y15" s="276"/>
      <c r="Z15" s="276"/>
      <c r="AA15" s="276"/>
      <c r="AB15" s="276"/>
      <c r="AC15" s="276"/>
      <c r="AD15" s="276"/>
      <c r="AE15" s="277"/>
    </row>
    <row r="16" spans="1:31" x14ac:dyDescent="0.25">
      <c r="A16" s="220"/>
      <c r="B16" s="289" t="s">
        <v>255</v>
      </c>
      <c r="C16" s="268" t="s">
        <v>434</v>
      </c>
      <c r="D16" s="269" t="s">
        <v>31</v>
      </c>
      <c r="E16" s="270">
        <f t="shared" si="0"/>
        <v>4.6392999999999995</v>
      </c>
      <c r="F16" s="270">
        <f t="shared" si="0"/>
        <v>1.8781000000000001</v>
      </c>
      <c r="G16" s="270">
        <f t="shared" si="0"/>
        <v>5.3948</v>
      </c>
      <c r="H16" s="271">
        <f t="shared" si="0"/>
        <v>0</v>
      </c>
      <c r="I16" s="331">
        <f>SUM(E16:H16)</f>
        <v>11.912199999999999</v>
      </c>
      <c r="K16" s="705"/>
      <c r="N16" s="283"/>
      <c r="O16" s="284"/>
      <c r="Q16" s="285"/>
      <c r="R16" s="286">
        <v>0.53029999999999999</v>
      </c>
      <c r="S16" s="515">
        <v>0.24229999999999999</v>
      </c>
      <c r="T16" s="515">
        <v>0.29930000000000001</v>
      </c>
      <c r="U16" s="286"/>
      <c r="V16" s="286"/>
      <c r="W16" s="286"/>
      <c r="X16" s="287"/>
      <c r="Y16" s="287"/>
      <c r="Z16" s="287"/>
      <c r="AA16" s="287"/>
      <c r="AB16" s="287"/>
      <c r="AC16" s="287"/>
      <c r="AD16" s="287"/>
      <c r="AE16" s="288"/>
    </row>
    <row r="17" spans="1:31" ht="15.75" thickBot="1" x14ac:dyDescent="0.3">
      <c r="A17" s="229"/>
      <c r="B17" s="338" t="s">
        <v>255</v>
      </c>
      <c r="C17" s="339" t="s">
        <v>435</v>
      </c>
      <c r="D17" s="340" t="s">
        <v>31</v>
      </c>
      <c r="E17" s="341">
        <f t="shared" si="0"/>
        <v>0.30069999999999997</v>
      </c>
      <c r="F17" s="341">
        <f t="shared" si="0"/>
        <v>0</v>
      </c>
      <c r="G17" s="341">
        <f t="shared" si="0"/>
        <v>0.14499999999999999</v>
      </c>
      <c r="H17" s="342">
        <f t="shared" si="0"/>
        <v>0</v>
      </c>
      <c r="I17" s="343">
        <f>SUM(E17:H17)</f>
        <v>0.44569999999999999</v>
      </c>
      <c r="K17" s="706"/>
      <c r="N17" s="329"/>
      <c r="O17" s="330"/>
      <c r="Q17" s="285"/>
      <c r="R17" s="286"/>
      <c r="S17" s="515">
        <v>1.2296</v>
      </c>
      <c r="T17" s="515">
        <v>3.7400000000000003E-2</v>
      </c>
      <c r="U17" s="515">
        <v>1.8200000000000001E-2</v>
      </c>
      <c r="V17" s="286"/>
      <c r="W17" s="286"/>
      <c r="X17" s="287"/>
      <c r="Y17" s="287"/>
      <c r="Z17" s="287"/>
      <c r="AA17" s="287"/>
      <c r="AB17" s="287"/>
      <c r="AC17" s="287"/>
      <c r="AD17" s="287"/>
      <c r="AE17" s="288"/>
    </row>
    <row r="18" spans="1:31" ht="15.75" thickBot="1" x14ac:dyDescent="0.3">
      <c r="B18" s="173"/>
      <c r="Q18" s="234"/>
      <c r="R18" s="286"/>
      <c r="S18" s="286"/>
      <c r="T18" s="286"/>
      <c r="U18" s="286"/>
      <c r="V18" s="286"/>
      <c r="W18" s="286"/>
      <c r="X18" s="287"/>
      <c r="Y18" s="287"/>
      <c r="Z18" s="287"/>
      <c r="AA18" s="287"/>
      <c r="AB18" s="287"/>
      <c r="AC18" s="287"/>
      <c r="AD18" s="287"/>
      <c r="AE18" s="288"/>
    </row>
    <row r="19" spans="1:31" ht="15.75" thickBot="1" x14ac:dyDescent="0.3">
      <c r="A19" s="210" t="s">
        <v>230</v>
      </c>
      <c r="B19" s="211"/>
      <c r="C19" s="212"/>
      <c r="D19" s="213" t="s">
        <v>31</v>
      </c>
      <c r="E19" s="215" t="s">
        <v>219</v>
      </c>
      <c r="F19" s="215" t="s">
        <v>220</v>
      </c>
      <c r="G19" s="215" t="s">
        <v>311</v>
      </c>
      <c r="H19" s="215" t="s">
        <v>253</v>
      </c>
      <c r="I19" s="216" t="s">
        <v>222</v>
      </c>
      <c r="K19" s="217" t="s">
        <v>222</v>
      </c>
      <c r="N19" s="702" t="s">
        <v>223</v>
      </c>
      <c r="O19" s="703"/>
      <c r="Q19" s="231" t="s">
        <v>108</v>
      </c>
      <c r="R19" s="275"/>
      <c r="S19" s="275"/>
      <c r="T19" s="275"/>
      <c r="U19" s="275"/>
      <c r="V19" s="275"/>
      <c r="W19" s="275"/>
      <c r="X19" s="276"/>
      <c r="Y19" s="276"/>
      <c r="Z19" s="276"/>
      <c r="AA19" s="276"/>
      <c r="AB19" s="276"/>
      <c r="AC19" s="276"/>
      <c r="AD19" s="276"/>
      <c r="AE19" s="277"/>
    </row>
    <row r="20" spans="1:31" x14ac:dyDescent="0.25">
      <c r="A20" s="220"/>
      <c r="B20" s="267" t="s">
        <v>255</v>
      </c>
      <c r="C20" s="268" t="s">
        <v>433</v>
      </c>
      <c r="D20" s="269" t="s">
        <v>31</v>
      </c>
      <c r="E20" s="270">
        <f>SUM(R4:T5)+SUM(R7:W9)</f>
        <v>5.17</v>
      </c>
      <c r="F20" s="270">
        <f>SUM(R16)</f>
        <v>0.53029999999999999</v>
      </c>
      <c r="G20" s="270">
        <f>SUM(R20)</f>
        <v>0.63370000000000004</v>
      </c>
      <c r="H20" s="271"/>
      <c r="I20" s="272">
        <f>SUM(E20:H20)</f>
        <v>6.3340000000000005</v>
      </c>
      <c r="K20" s="646">
        <f>I20*(1+N20)</f>
        <v>6.9674000000000014</v>
      </c>
      <c r="N20" s="332" t="s">
        <v>226</v>
      </c>
      <c r="O20" s="274" t="s">
        <v>227</v>
      </c>
      <c r="Q20" s="234"/>
      <c r="R20" s="286">
        <v>0.63370000000000004</v>
      </c>
      <c r="S20" s="515">
        <v>0.33660000000000001</v>
      </c>
      <c r="T20" s="286"/>
      <c r="U20" s="286"/>
      <c r="V20" s="286"/>
      <c r="W20" s="286"/>
      <c r="X20" s="287"/>
      <c r="Y20" s="287"/>
      <c r="Z20" s="287"/>
      <c r="AA20" s="287"/>
      <c r="AB20" s="287"/>
      <c r="AC20" s="287"/>
      <c r="AD20" s="287"/>
      <c r="AE20" s="288"/>
    </row>
    <row r="21" spans="1:31" ht="15.75" thickBot="1" x14ac:dyDescent="0.3">
      <c r="A21" s="229"/>
      <c r="B21" s="338" t="s">
        <v>255</v>
      </c>
      <c r="C21" s="339" t="s">
        <v>432</v>
      </c>
      <c r="D21" s="340" t="s">
        <v>31</v>
      </c>
      <c r="E21" s="341"/>
      <c r="F21" s="341"/>
      <c r="G21" s="341"/>
      <c r="H21" s="342">
        <f>SUM(R39:T39)+SUM(T41)</f>
        <v>7.4984999999999999</v>
      </c>
      <c r="I21" s="344">
        <f>SUM(E21:H21)</f>
        <v>7.4984999999999999</v>
      </c>
      <c r="K21" s="642">
        <f>I21*(1+N21)</f>
        <v>8.2483500000000003</v>
      </c>
      <c r="N21" s="329" t="s">
        <v>226</v>
      </c>
      <c r="O21" s="330" t="s">
        <v>227</v>
      </c>
      <c r="Q21" s="514"/>
      <c r="R21" s="319"/>
      <c r="S21" s="319"/>
      <c r="T21" s="319"/>
      <c r="U21" s="319"/>
      <c r="V21" s="319"/>
      <c r="W21" s="319"/>
      <c r="X21" s="320"/>
      <c r="Y21" s="320"/>
      <c r="Z21" s="320"/>
      <c r="AA21" s="320"/>
      <c r="AB21" s="320"/>
      <c r="AC21" s="320"/>
      <c r="AD21" s="320"/>
      <c r="AE21" s="321"/>
    </row>
    <row r="22" spans="1:31" ht="15.75" thickBot="1" x14ac:dyDescent="0.3">
      <c r="B22" s="173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</row>
    <row r="23" spans="1:31" ht="15.75" thickBot="1" x14ac:dyDescent="0.3">
      <c r="A23" s="210" t="s">
        <v>431</v>
      </c>
      <c r="B23" s="211"/>
      <c r="C23" s="212"/>
      <c r="D23" s="213" t="s">
        <v>31</v>
      </c>
      <c r="E23" s="215" t="s">
        <v>219</v>
      </c>
      <c r="F23" s="215" t="s">
        <v>220</v>
      </c>
      <c r="G23" s="215" t="s">
        <v>311</v>
      </c>
      <c r="H23" s="215" t="s">
        <v>253</v>
      </c>
      <c r="I23" s="618" t="s">
        <v>222</v>
      </c>
      <c r="K23" s="217" t="s">
        <v>222</v>
      </c>
      <c r="N23" s="702" t="s">
        <v>223</v>
      </c>
      <c r="O23" s="703"/>
      <c r="Q23" s="224" t="s">
        <v>268</v>
      </c>
      <c r="R23" s="262" t="s">
        <v>31</v>
      </c>
      <c r="S23" s="263"/>
      <c r="T23" s="264"/>
      <c r="U23" s="264"/>
      <c r="V23" s="264"/>
      <c r="W23" s="264"/>
      <c r="X23" s="265"/>
      <c r="Y23" s="265"/>
      <c r="Z23" s="265"/>
      <c r="AA23" s="265"/>
      <c r="AB23" s="265"/>
      <c r="AC23" s="265"/>
      <c r="AD23" s="265"/>
      <c r="AE23" s="266">
        <f>SUM(R24:AE45)</f>
        <v>25.640399999999996</v>
      </c>
    </row>
    <row r="24" spans="1:31" ht="15.75" thickBot="1" x14ac:dyDescent="0.3">
      <c r="A24" s="345" t="s">
        <v>317</v>
      </c>
      <c r="B24" s="636" t="s">
        <v>319</v>
      </c>
      <c r="C24" s="637" t="s">
        <v>432</v>
      </c>
      <c r="D24" s="638"/>
      <c r="E24" s="639"/>
      <c r="F24" s="639"/>
      <c r="G24" s="639"/>
      <c r="H24" s="640">
        <f>SUM(U39:Z39)+SUM(U41:AC41)</f>
        <v>3.7404000000000002</v>
      </c>
      <c r="I24" s="641">
        <f>SUM(E24:H24)</f>
        <v>3.7404000000000002</v>
      </c>
      <c r="K24" s="635">
        <f>SUM(I24:I24)*(1+N24)</f>
        <v>4.1144400000000001</v>
      </c>
      <c r="N24" s="633" t="s">
        <v>226</v>
      </c>
      <c r="O24" s="634" t="s">
        <v>227</v>
      </c>
      <c r="Q24" s="231" t="s">
        <v>229</v>
      </c>
      <c r="R24" s="275"/>
      <c r="S24" s="275"/>
      <c r="T24" s="275"/>
      <c r="U24" s="275"/>
      <c r="V24" s="275"/>
      <c r="W24" s="275"/>
      <c r="X24" s="276"/>
      <c r="Y24" s="276"/>
      <c r="Z24" s="276"/>
      <c r="AA24" s="276"/>
      <c r="AB24" s="276"/>
      <c r="AC24" s="276"/>
      <c r="AD24" s="276"/>
      <c r="AE24" s="277"/>
    </row>
    <row r="25" spans="1:31" ht="15.75" thickBot="1" x14ac:dyDescent="0.3">
      <c r="B25" s="173"/>
      <c r="Q25" s="285"/>
      <c r="R25" s="515">
        <v>4.65E-2</v>
      </c>
      <c r="S25" s="515">
        <v>0.54420000000000002</v>
      </c>
      <c r="T25" s="515">
        <v>0.57969999999999999</v>
      </c>
      <c r="U25" s="515">
        <v>0.57889999999999997</v>
      </c>
      <c r="V25" s="515">
        <v>0.73329999999999995</v>
      </c>
      <c r="W25" s="515">
        <v>0.7581</v>
      </c>
      <c r="X25" s="516">
        <v>0.188</v>
      </c>
      <c r="Y25" s="287"/>
      <c r="Z25" s="287"/>
      <c r="AA25" s="287"/>
      <c r="AB25" s="287"/>
      <c r="AC25" s="287"/>
      <c r="AD25" s="287"/>
      <c r="AE25" s="288"/>
    </row>
    <row r="26" spans="1:31" ht="15.75" thickBot="1" x14ac:dyDescent="0.3">
      <c r="A26" s="210" t="s">
        <v>269</v>
      </c>
      <c r="B26" s="211"/>
      <c r="C26" s="212"/>
      <c r="D26" s="213"/>
      <c r="E26" s="215" t="s">
        <v>219</v>
      </c>
      <c r="F26" s="215" t="s">
        <v>220</v>
      </c>
      <c r="G26" s="215" t="s">
        <v>311</v>
      </c>
      <c r="H26" s="215" t="s">
        <v>253</v>
      </c>
      <c r="I26" s="239" t="s">
        <v>222</v>
      </c>
      <c r="K26" s="238" t="s">
        <v>36</v>
      </c>
      <c r="L26" s="700" t="s">
        <v>232</v>
      </c>
      <c r="M26" s="701"/>
      <c r="O26" s="240" t="s">
        <v>223</v>
      </c>
      <c r="Q26" s="285"/>
      <c r="R26" s="286"/>
      <c r="S26" s="286"/>
      <c r="T26" s="515">
        <v>0.35699999999999998</v>
      </c>
      <c r="U26" s="286"/>
      <c r="V26" s="286"/>
      <c r="W26" s="286"/>
      <c r="X26" s="287"/>
      <c r="Y26" s="287"/>
      <c r="Z26" s="287"/>
      <c r="AA26" s="287"/>
      <c r="AB26" s="287"/>
      <c r="AC26" s="287"/>
      <c r="AD26" s="287"/>
      <c r="AE26" s="288"/>
    </row>
    <row r="27" spans="1:31" x14ac:dyDescent="0.25">
      <c r="A27" s="220" t="s">
        <v>271</v>
      </c>
      <c r="B27" s="267" t="s">
        <v>272</v>
      </c>
      <c r="C27" s="268" t="s">
        <v>273</v>
      </c>
      <c r="D27" s="269" t="s">
        <v>1</v>
      </c>
      <c r="E27" s="348">
        <v>2</v>
      </c>
      <c r="F27" s="348">
        <v>1</v>
      </c>
      <c r="G27" s="348">
        <v>1</v>
      </c>
      <c r="H27" s="349"/>
      <c r="I27" s="350">
        <f>SUM(E27:H27)</f>
        <v>4</v>
      </c>
      <c r="K27" s="351">
        <v>4</v>
      </c>
      <c r="L27" s="349">
        <f>K27-I27</f>
        <v>0</v>
      </c>
      <c r="M27" s="352">
        <f>L27/K27</f>
        <v>0</v>
      </c>
      <c r="O27" s="353"/>
      <c r="Q27" s="285"/>
      <c r="R27" s="286"/>
      <c r="S27" s="286"/>
      <c r="T27" s="286"/>
      <c r="U27" s="286"/>
      <c r="V27" s="286"/>
      <c r="W27" s="286"/>
      <c r="X27" s="287"/>
      <c r="Y27" s="287"/>
      <c r="Z27" s="287"/>
      <c r="AA27" s="287"/>
      <c r="AB27" s="287"/>
      <c r="AC27" s="287"/>
      <c r="AD27" s="287"/>
      <c r="AE27" s="288"/>
    </row>
    <row r="28" spans="1:31" ht="15.75" thickBot="1" x14ac:dyDescent="0.3">
      <c r="A28" s="229" t="s">
        <v>314</v>
      </c>
      <c r="B28" s="338" t="s">
        <v>315</v>
      </c>
      <c r="C28" s="339" t="s">
        <v>316</v>
      </c>
      <c r="D28" s="340" t="s">
        <v>1</v>
      </c>
      <c r="E28" s="398">
        <v>3</v>
      </c>
      <c r="F28" s="398">
        <v>1</v>
      </c>
      <c r="G28" s="398"/>
      <c r="H28" s="397"/>
      <c r="I28" s="399">
        <f>SUM(E28:H28)</f>
        <v>4</v>
      </c>
      <c r="K28" s="396">
        <v>4</v>
      </c>
      <c r="L28" s="397">
        <f>K28-I28</f>
        <v>0</v>
      </c>
      <c r="M28" s="365">
        <f>L28/K28</f>
        <v>0</v>
      </c>
      <c r="O28" s="346"/>
      <c r="Q28" s="285"/>
      <c r="R28" s="515">
        <v>0.2369</v>
      </c>
      <c r="S28" s="515">
        <v>0.29070000000000001</v>
      </c>
      <c r="T28" s="286"/>
      <c r="U28" s="286"/>
      <c r="V28" s="286"/>
      <c r="W28" s="286"/>
      <c r="X28" s="287"/>
      <c r="Y28" s="287"/>
      <c r="Z28" s="287"/>
      <c r="AA28" s="287"/>
      <c r="AB28" s="287"/>
      <c r="AC28" s="287"/>
      <c r="AD28" s="287"/>
      <c r="AE28" s="288"/>
    </row>
    <row r="29" spans="1:31" ht="15.75" thickBot="1" x14ac:dyDescent="0.3">
      <c r="B29" s="173"/>
      <c r="Q29" s="334"/>
      <c r="R29" s="335"/>
      <c r="S29" s="335"/>
      <c r="T29" s="335"/>
      <c r="U29" s="335"/>
      <c r="V29" s="335"/>
      <c r="W29" s="335"/>
      <c r="X29" s="336"/>
      <c r="Y29" s="336"/>
      <c r="Z29" s="336"/>
      <c r="AA29" s="336"/>
      <c r="AB29" s="336"/>
      <c r="AC29" s="336"/>
      <c r="AD29" s="336"/>
      <c r="AE29" s="337"/>
    </row>
    <row r="30" spans="1:31" ht="16.5" thickTop="1" thickBot="1" x14ac:dyDescent="0.3">
      <c r="A30" s="210" t="s">
        <v>231</v>
      </c>
      <c r="B30" s="347"/>
      <c r="C30" s="212"/>
      <c r="D30" s="213"/>
      <c r="E30" s="214" t="s">
        <v>219</v>
      </c>
      <c r="F30" s="215" t="s">
        <v>220</v>
      </c>
      <c r="G30" s="215" t="s">
        <v>311</v>
      </c>
      <c r="H30" s="215" t="s">
        <v>253</v>
      </c>
      <c r="I30" s="216" t="s">
        <v>222</v>
      </c>
      <c r="K30" s="238" t="s">
        <v>36</v>
      </c>
      <c r="L30" s="700" t="s">
        <v>232</v>
      </c>
      <c r="M30" s="701"/>
      <c r="O30" s="240" t="s">
        <v>223</v>
      </c>
      <c r="Q30" s="231" t="s">
        <v>242</v>
      </c>
      <c r="R30" s="275"/>
      <c r="S30" s="275"/>
      <c r="T30" s="275"/>
      <c r="U30" s="275"/>
      <c r="V30" s="275"/>
      <c r="W30" s="275"/>
      <c r="X30" s="276"/>
      <c r="Y30" s="276"/>
      <c r="Z30" s="276"/>
      <c r="AA30" s="276"/>
      <c r="AB30" s="276"/>
      <c r="AC30" s="276"/>
      <c r="AD30" s="276"/>
      <c r="AE30" s="277"/>
    </row>
    <row r="31" spans="1:31" x14ac:dyDescent="0.25">
      <c r="A31" s="220" t="s">
        <v>274</v>
      </c>
      <c r="B31" s="267" t="s">
        <v>275</v>
      </c>
      <c r="C31" s="268">
        <v>50</v>
      </c>
      <c r="D31" s="269" t="s">
        <v>1</v>
      </c>
      <c r="E31" s="348"/>
      <c r="F31" s="348"/>
      <c r="G31" s="348"/>
      <c r="H31" s="349">
        <v>2</v>
      </c>
      <c r="I31" s="350">
        <f t="shared" ref="I31:I42" si="1">SUM(E31:H31)</f>
        <v>2</v>
      </c>
      <c r="K31" s="351">
        <v>2</v>
      </c>
      <c r="L31" s="349">
        <f t="shared" ref="L31:L50" si="2">K31-I31</f>
        <v>0</v>
      </c>
      <c r="M31" s="352">
        <f>L31/K31</f>
        <v>0</v>
      </c>
      <c r="O31" s="353"/>
      <c r="Q31" s="285"/>
      <c r="R31" s="515">
        <v>0.13539999999999999</v>
      </c>
      <c r="S31" s="515">
        <v>0.5625</v>
      </c>
      <c r="T31" s="515">
        <v>0.19570000000000001</v>
      </c>
      <c r="U31" s="286"/>
      <c r="V31" s="286"/>
      <c r="W31" s="286"/>
      <c r="X31" s="287"/>
      <c r="Y31" s="287"/>
      <c r="Z31" s="287"/>
      <c r="AA31" s="287"/>
      <c r="AB31" s="287"/>
      <c r="AC31" s="287"/>
      <c r="AD31" s="287"/>
      <c r="AE31" s="288"/>
    </row>
    <row r="32" spans="1:31" x14ac:dyDescent="0.25">
      <c r="A32" s="246" t="s">
        <v>276</v>
      </c>
      <c r="B32" s="278" t="s">
        <v>277</v>
      </c>
      <c r="C32" s="279" t="s">
        <v>278</v>
      </c>
      <c r="D32" s="280" t="s">
        <v>1</v>
      </c>
      <c r="E32" s="354">
        <v>2</v>
      </c>
      <c r="F32" s="354">
        <v>1</v>
      </c>
      <c r="G32" s="354">
        <v>1</v>
      </c>
      <c r="H32" s="355">
        <v>1</v>
      </c>
      <c r="I32" s="356">
        <f t="shared" si="1"/>
        <v>5</v>
      </c>
      <c r="K32" s="357">
        <v>5</v>
      </c>
      <c r="L32" s="355">
        <f t="shared" si="2"/>
        <v>0</v>
      </c>
      <c r="M32" s="358">
        <f>L32/K32</f>
        <v>0</v>
      </c>
      <c r="O32" s="353"/>
      <c r="Q32" s="285"/>
      <c r="R32" s="286"/>
      <c r="S32" s="286"/>
      <c r="T32" s="286"/>
      <c r="U32" s="286"/>
      <c r="V32" s="286"/>
      <c r="W32" s="286"/>
      <c r="X32" s="287"/>
      <c r="Y32" s="287"/>
      <c r="Z32" s="287"/>
      <c r="AA32" s="287"/>
      <c r="AB32" s="287"/>
      <c r="AC32" s="287"/>
      <c r="AD32" s="287"/>
      <c r="AE32" s="288"/>
    </row>
    <row r="33" spans="1:31" x14ac:dyDescent="0.25">
      <c r="A33" s="220" t="s">
        <v>279</v>
      </c>
      <c r="B33" s="289" t="s">
        <v>280</v>
      </c>
      <c r="C33" s="268">
        <v>100</v>
      </c>
      <c r="D33" s="269" t="s">
        <v>1</v>
      </c>
      <c r="E33" s="348">
        <v>3</v>
      </c>
      <c r="F33" s="348">
        <v>1</v>
      </c>
      <c r="G33" s="348">
        <v>1</v>
      </c>
      <c r="H33" s="349"/>
      <c r="I33" s="350">
        <f t="shared" si="1"/>
        <v>5</v>
      </c>
      <c r="K33" s="351">
        <v>5</v>
      </c>
      <c r="L33" s="349">
        <f t="shared" si="2"/>
        <v>0</v>
      </c>
      <c r="M33" s="352">
        <f>L33/K33</f>
        <v>0</v>
      </c>
      <c r="O33" s="353"/>
      <c r="Q33" s="285"/>
      <c r="R33" s="286"/>
      <c r="S33" s="286"/>
      <c r="T33" s="286"/>
      <c r="U33" s="286"/>
      <c r="V33" s="286"/>
      <c r="W33" s="286"/>
      <c r="X33" s="287"/>
      <c r="Y33" s="287"/>
      <c r="Z33" s="287"/>
      <c r="AA33" s="287"/>
      <c r="AB33" s="287"/>
      <c r="AC33" s="287"/>
      <c r="AD33" s="287"/>
      <c r="AE33" s="288"/>
    </row>
    <row r="34" spans="1:31" x14ac:dyDescent="0.25">
      <c r="A34" s="246" t="s">
        <v>282</v>
      </c>
      <c r="B34" s="278" t="s">
        <v>283</v>
      </c>
      <c r="C34" s="279">
        <v>50</v>
      </c>
      <c r="D34" s="280" t="s">
        <v>1</v>
      </c>
      <c r="E34" s="354">
        <f>E31+E32*2+E37+E41+E44+E46+E47+E48*2</f>
        <v>23</v>
      </c>
      <c r="F34" s="354">
        <f>F31+F32*2+F37+F41+F44+F46+F47+F48*2</f>
        <v>7</v>
      </c>
      <c r="G34" s="354">
        <f t="shared" ref="G34:H34" si="3">G31+G32*2+G37+G41+G44+G46+G47+G48*2</f>
        <v>10</v>
      </c>
      <c r="H34" s="354">
        <f t="shared" si="3"/>
        <v>43</v>
      </c>
      <c r="I34" s="356">
        <f t="shared" si="1"/>
        <v>83</v>
      </c>
      <c r="K34" s="357">
        <v>84</v>
      </c>
      <c r="L34" s="355">
        <f t="shared" si="2"/>
        <v>1</v>
      </c>
      <c r="M34" s="358">
        <f>L34/K34</f>
        <v>1.1904761904761904E-2</v>
      </c>
      <c r="O34" s="353"/>
      <c r="Q34" s="231" t="s">
        <v>108</v>
      </c>
      <c r="R34" s="275"/>
      <c r="S34" s="275"/>
      <c r="T34" s="275"/>
      <c r="U34" s="275"/>
      <c r="V34" s="275"/>
      <c r="W34" s="275"/>
      <c r="X34" s="276"/>
      <c r="Y34" s="276"/>
      <c r="Z34" s="276"/>
      <c r="AA34" s="276"/>
      <c r="AB34" s="276"/>
      <c r="AC34" s="276"/>
      <c r="AD34" s="276"/>
      <c r="AE34" s="277"/>
    </row>
    <row r="35" spans="1:31" x14ac:dyDescent="0.25">
      <c r="A35" s="220" t="s">
        <v>284</v>
      </c>
      <c r="B35" s="267" t="s">
        <v>283</v>
      </c>
      <c r="C35" s="268">
        <v>100</v>
      </c>
      <c r="D35" s="269" t="s">
        <v>1</v>
      </c>
      <c r="E35" s="348">
        <f>E38+E42+E45+E47+E43</f>
        <v>25</v>
      </c>
      <c r="F35" s="348">
        <f t="shared" ref="F35:H35" si="4">F33+F38+F42+F45+F47+F43</f>
        <v>8</v>
      </c>
      <c r="G35" s="348">
        <f t="shared" si="4"/>
        <v>21</v>
      </c>
      <c r="H35" s="348">
        <f t="shared" si="4"/>
        <v>0</v>
      </c>
      <c r="I35" s="350">
        <f t="shared" si="1"/>
        <v>54</v>
      </c>
      <c r="K35" s="351">
        <v>54</v>
      </c>
      <c r="L35" s="349">
        <f t="shared" si="2"/>
        <v>0</v>
      </c>
      <c r="M35" s="352">
        <f>L35/K35</f>
        <v>0</v>
      </c>
      <c r="O35" s="353"/>
      <c r="Q35" s="285"/>
      <c r="R35" s="515">
        <v>0.35549999999999998</v>
      </c>
      <c r="S35" s="515">
        <v>0.43009999999999998</v>
      </c>
      <c r="T35" s="515">
        <v>0.24060000000000001</v>
      </c>
      <c r="U35" s="515">
        <v>0.26979999999999998</v>
      </c>
      <c r="V35" s="515">
        <v>0.27610000000000001</v>
      </c>
      <c r="W35" s="286"/>
      <c r="X35" s="287"/>
      <c r="Y35" s="287"/>
      <c r="Z35" s="287"/>
      <c r="AA35" s="287"/>
      <c r="AB35" s="287"/>
      <c r="AC35" s="287"/>
      <c r="AD35" s="287"/>
      <c r="AE35" s="288"/>
    </row>
    <row r="36" spans="1:31" x14ac:dyDescent="0.25">
      <c r="A36" s="246" t="s">
        <v>285</v>
      </c>
      <c r="B36" s="278" t="s">
        <v>286</v>
      </c>
      <c r="C36" s="279">
        <v>40</v>
      </c>
      <c r="D36" s="280" t="s">
        <v>1</v>
      </c>
      <c r="E36" s="354">
        <f>(4+3+4)+(1)</f>
        <v>12</v>
      </c>
      <c r="F36" s="354">
        <v>3</v>
      </c>
      <c r="G36" s="354"/>
      <c r="H36" s="355"/>
      <c r="I36" s="356">
        <f t="shared" si="1"/>
        <v>15</v>
      </c>
      <c r="K36" s="357">
        <v>15</v>
      </c>
      <c r="L36" s="355">
        <f t="shared" si="2"/>
        <v>0</v>
      </c>
      <c r="M36" s="358">
        <f t="shared" ref="M36:M49" si="5">L36/K36</f>
        <v>0</v>
      </c>
      <c r="O36" s="353"/>
      <c r="Q36" s="234"/>
      <c r="R36" s="286"/>
      <c r="S36" s="286"/>
      <c r="T36" s="286"/>
      <c r="U36" s="286"/>
      <c r="V36" s="286"/>
      <c r="W36" s="286"/>
      <c r="X36" s="287"/>
      <c r="Y36" s="287"/>
      <c r="Z36" s="287"/>
      <c r="AA36" s="287"/>
      <c r="AB36" s="287"/>
      <c r="AC36" s="287"/>
      <c r="AD36" s="287"/>
      <c r="AE36" s="288"/>
    </row>
    <row r="37" spans="1:31" ht="15.75" thickBot="1" x14ac:dyDescent="0.3">
      <c r="A37" s="220" t="s">
        <v>287</v>
      </c>
      <c r="B37" s="267" t="s">
        <v>286</v>
      </c>
      <c r="C37" s="268">
        <v>50</v>
      </c>
      <c r="D37" s="269" t="s">
        <v>1</v>
      </c>
      <c r="E37" s="348">
        <f>(4)</f>
        <v>4</v>
      </c>
      <c r="F37" s="348">
        <v>2</v>
      </c>
      <c r="G37" s="348">
        <v>2</v>
      </c>
      <c r="H37" s="349">
        <f>(4)+(6+1)</f>
        <v>11</v>
      </c>
      <c r="I37" s="350">
        <f t="shared" si="1"/>
        <v>19</v>
      </c>
      <c r="K37" s="351">
        <v>19</v>
      </c>
      <c r="L37" s="349">
        <f t="shared" si="2"/>
        <v>0</v>
      </c>
      <c r="M37" s="352">
        <f t="shared" si="5"/>
        <v>0</v>
      </c>
      <c r="O37" s="353"/>
      <c r="Q37" s="254"/>
      <c r="R37" s="335"/>
      <c r="S37" s="335"/>
      <c r="T37" s="335"/>
      <c r="U37" s="335"/>
      <c r="V37" s="335"/>
      <c r="W37" s="335"/>
      <c r="X37" s="336"/>
      <c r="Y37" s="336"/>
      <c r="Z37" s="336"/>
      <c r="AA37" s="336"/>
      <c r="AB37" s="336"/>
      <c r="AC37" s="336"/>
      <c r="AD37" s="336"/>
      <c r="AE37" s="337"/>
    </row>
    <row r="38" spans="1:31" ht="15.75" thickTop="1" x14ac:dyDescent="0.25">
      <c r="A38" s="246" t="s">
        <v>288</v>
      </c>
      <c r="B38" s="278" t="s">
        <v>286</v>
      </c>
      <c r="C38" s="279">
        <v>100</v>
      </c>
      <c r="D38" s="280" t="s">
        <v>1</v>
      </c>
      <c r="E38" s="354">
        <v>7</v>
      </c>
      <c r="F38" s="354">
        <v>2</v>
      </c>
      <c r="G38" s="354">
        <v>7</v>
      </c>
      <c r="H38" s="355"/>
      <c r="I38" s="356">
        <f t="shared" si="1"/>
        <v>16</v>
      </c>
      <c r="K38" s="357">
        <v>16</v>
      </c>
      <c r="L38" s="355">
        <f t="shared" si="2"/>
        <v>0</v>
      </c>
      <c r="M38" s="358">
        <f t="shared" si="5"/>
        <v>0</v>
      </c>
      <c r="O38" s="353"/>
      <c r="Q38" s="231" t="s">
        <v>270</v>
      </c>
      <c r="R38" s="275"/>
      <c r="S38" s="275"/>
      <c r="T38" s="275"/>
      <c r="U38" s="275"/>
      <c r="V38" s="275"/>
      <c r="W38" s="275"/>
      <c r="X38" s="276"/>
      <c r="Y38" s="276"/>
      <c r="Z38" s="276"/>
      <c r="AA38" s="276"/>
      <c r="AB38" s="276"/>
      <c r="AC38" s="276"/>
      <c r="AD38" s="276"/>
      <c r="AE38" s="277"/>
    </row>
    <row r="39" spans="1:31" x14ac:dyDescent="0.25">
      <c r="A39" s="220" t="s">
        <v>289</v>
      </c>
      <c r="B39" s="267" t="s">
        <v>290</v>
      </c>
      <c r="C39" s="268">
        <v>40</v>
      </c>
      <c r="D39" s="269" t="s">
        <v>1</v>
      </c>
      <c r="E39" s="348">
        <f>(2+3)</f>
        <v>5</v>
      </c>
      <c r="F39" s="348">
        <v>1</v>
      </c>
      <c r="G39" s="348">
        <v>1</v>
      </c>
      <c r="H39" s="349"/>
      <c r="I39" s="350">
        <f t="shared" si="1"/>
        <v>7</v>
      </c>
      <c r="K39" s="351">
        <v>7</v>
      </c>
      <c r="L39" s="349">
        <f t="shared" si="2"/>
        <v>0</v>
      </c>
      <c r="M39" s="352">
        <f t="shared" si="5"/>
        <v>0</v>
      </c>
      <c r="O39" s="353"/>
      <c r="Q39" s="234" t="s">
        <v>378</v>
      </c>
      <c r="R39" s="286">
        <v>0.15210000000000001</v>
      </c>
      <c r="S39" s="286">
        <v>1.6251</v>
      </c>
      <c r="T39" s="286">
        <v>2.5659000000000001</v>
      </c>
      <c r="U39" s="518">
        <v>0.1321</v>
      </c>
      <c r="V39" s="517">
        <v>0.27779999999999999</v>
      </c>
      <c r="W39" s="517">
        <v>0.42549999999999999</v>
      </c>
      <c r="X39" s="517">
        <v>0.11849999999999999</v>
      </c>
      <c r="Y39" s="517">
        <v>0.52810000000000001</v>
      </c>
      <c r="Z39" s="517">
        <v>0.56540000000000001</v>
      </c>
      <c r="AA39" s="287"/>
      <c r="AB39" s="287"/>
      <c r="AC39" s="287"/>
      <c r="AD39" s="287"/>
      <c r="AE39" s="288"/>
    </row>
    <row r="40" spans="1:31" x14ac:dyDescent="0.25">
      <c r="A40" s="246" t="s">
        <v>291</v>
      </c>
      <c r="B40" s="278" t="s">
        <v>292</v>
      </c>
      <c r="C40" s="279">
        <v>40</v>
      </c>
      <c r="D40" s="280" t="s">
        <v>1</v>
      </c>
      <c r="E40" s="354">
        <f>2+1</f>
        <v>3</v>
      </c>
      <c r="F40" s="354">
        <v>1</v>
      </c>
      <c r="G40" s="354">
        <v>1</v>
      </c>
      <c r="H40" s="355"/>
      <c r="I40" s="356">
        <f t="shared" si="1"/>
        <v>5</v>
      </c>
      <c r="K40" s="357">
        <v>5</v>
      </c>
      <c r="L40" s="355">
        <f t="shared" si="2"/>
        <v>0</v>
      </c>
      <c r="M40" s="358">
        <f t="shared" si="5"/>
        <v>0</v>
      </c>
      <c r="O40" s="353"/>
      <c r="Q40" s="234"/>
      <c r="R40" s="286"/>
      <c r="S40" s="286"/>
      <c r="T40" s="286"/>
      <c r="U40" s="286"/>
      <c r="V40" s="287"/>
      <c r="W40" s="287"/>
      <c r="X40" s="287"/>
      <c r="Y40" s="287"/>
      <c r="Z40" s="287"/>
      <c r="AA40" s="287"/>
      <c r="AB40" s="287"/>
      <c r="AC40" s="287"/>
      <c r="AD40" s="287"/>
      <c r="AE40" s="288"/>
    </row>
    <row r="41" spans="1:31" x14ac:dyDescent="0.25">
      <c r="A41" s="220" t="s">
        <v>293</v>
      </c>
      <c r="B41" s="267" t="s">
        <v>292</v>
      </c>
      <c r="C41" s="268">
        <v>50</v>
      </c>
      <c r="D41" s="269" t="s">
        <v>1</v>
      </c>
      <c r="E41" s="348">
        <v>2</v>
      </c>
      <c r="F41" s="348"/>
      <c r="G41" s="348">
        <v>1</v>
      </c>
      <c r="H41" s="349">
        <f>(2)+(5)</f>
        <v>7</v>
      </c>
      <c r="I41" s="350">
        <f t="shared" si="1"/>
        <v>10</v>
      </c>
      <c r="K41" s="351">
        <v>10</v>
      </c>
      <c r="L41" s="349">
        <f t="shared" si="2"/>
        <v>0</v>
      </c>
      <c r="M41" s="352">
        <f t="shared" si="5"/>
        <v>0</v>
      </c>
      <c r="O41" s="353"/>
      <c r="Q41" s="234" t="s">
        <v>379</v>
      </c>
      <c r="R41" s="286"/>
      <c r="S41" s="286"/>
      <c r="T41" s="286">
        <v>3.1554000000000002</v>
      </c>
      <c r="U41" s="518">
        <v>0.28139999999999998</v>
      </c>
      <c r="V41" s="517">
        <v>0.1061</v>
      </c>
      <c r="W41" s="517">
        <v>7.5300000000000006E-2</v>
      </c>
      <c r="X41" s="517">
        <v>0.24399999999999999</v>
      </c>
      <c r="Y41" s="517">
        <v>0.1018</v>
      </c>
      <c r="Z41" s="517">
        <v>9.4799999999999995E-2</v>
      </c>
      <c r="AA41" s="517">
        <v>0.14599999999999999</v>
      </c>
      <c r="AB41" s="517">
        <v>7.6600000000000001E-2</v>
      </c>
      <c r="AC41" s="517">
        <v>0.56699999999999995</v>
      </c>
      <c r="AD41" s="287"/>
      <c r="AE41" s="288"/>
    </row>
    <row r="42" spans="1:31" x14ac:dyDescent="0.25">
      <c r="A42" s="246" t="s">
        <v>295</v>
      </c>
      <c r="B42" s="278" t="s">
        <v>292</v>
      </c>
      <c r="C42" s="279">
        <v>100</v>
      </c>
      <c r="D42" s="280" t="s">
        <v>1</v>
      </c>
      <c r="E42" s="354">
        <f>3</f>
        <v>3</v>
      </c>
      <c r="F42" s="354">
        <v>1</v>
      </c>
      <c r="G42" s="354">
        <v>2</v>
      </c>
      <c r="H42" s="354"/>
      <c r="I42" s="356">
        <f t="shared" si="1"/>
        <v>6</v>
      </c>
      <c r="K42" s="357">
        <v>6</v>
      </c>
      <c r="L42" s="355">
        <f t="shared" si="2"/>
        <v>0</v>
      </c>
      <c r="M42" s="358">
        <f t="shared" si="5"/>
        <v>0</v>
      </c>
      <c r="O42" s="353"/>
      <c r="Q42" s="234"/>
      <c r="R42" s="286"/>
      <c r="S42" s="286"/>
      <c r="T42" s="286"/>
      <c r="U42" s="286"/>
      <c r="V42" s="287"/>
      <c r="W42" s="287"/>
      <c r="X42" s="287"/>
      <c r="Y42" s="287"/>
      <c r="Z42" s="287"/>
      <c r="AA42" s="287"/>
      <c r="AB42" s="287"/>
      <c r="AC42" s="287"/>
      <c r="AD42" s="287"/>
      <c r="AE42" s="288"/>
    </row>
    <row r="43" spans="1:31" x14ac:dyDescent="0.25">
      <c r="A43" s="220" t="s">
        <v>296</v>
      </c>
      <c r="B43" s="267" t="s">
        <v>297</v>
      </c>
      <c r="C43" s="268" t="s">
        <v>298</v>
      </c>
      <c r="D43" s="269" t="s">
        <v>1</v>
      </c>
      <c r="E43" s="348">
        <v>2</v>
      </c>
      <c r="F43" s="348"/>
      <c r="G43" s="348"/>
      <c r="H43" s="348"/>
      <c r="I43" s="350">
        <f t="shared" ref="I43:I49" si="6">SUM(E43:H43)</f>
        <v>2</v>
      </c>
      <c r="K43" s="351">
        <v>2</v>
      </c>
      <c r="L43" s="349">
        <f t="shared" si="2"/>
        <v>0</v>
      </c>
      <c r="M43" s="352">
        <f t="shared" si="5"/>
        <v>0</v>
      </c>
      <c r="O43" s="353"/>
      <c r="Q43" s="234"/>
      <c r="R43" s="515">
        <v>1.7291000000000001</v>
      </c>
      <c r="S43" s="515">
        <v>7.9899999999999999E-2</v>
      </c>
      <c r="T43" s="515">
        <v>0.59819999999999995</v>
      </c>
      <c r="U43" s="515">
        <v>2.7427000000000001</v>
      </c>
      <c r="V43" s="516">
        <v>0.37380000000000002</v>
      </c>
      <c r="W43" s="287"/>
      <c r="X43" s="287"/>
      <c r="Y43" s="287"/>
      <c r="Z43" s="287"/>
      <c r="AA43" s="287"/>
      <c r="AB43" s="287"/>
      <c r="AC43" s="287"/>
      <c r="AD43" s="287"/>
      <c r="AE43" s="288"/>
    </row>
    <row r="44" spans="1:31" x14ac:dyDescent="0.25">
      <c r="A44" s="246" t="s">
        <v>299</v>
      </c>
      <c r="B44" s="278" t="s">
        <v>300</v>
      </c>
      <c r="C44" s="279">
        <v>50</v>
      </c>
      <c r="D44" s="280" t="s">
        <v>1</v>
      </c>
      <c r="E44" s="354">
        <f>(1)+(7)</f>
        <v>8</v>
      </c>
      <c r="F44" s="354">
        <v>2</v>
      </c>
      <c r="G44" s="354">
        <v>4</v>
      </c>
      <c r="H44" s="355">
        <f>(6)+(13)</f>
        <v>19</v>
      </c>
      <c r="I44" s="356">
        <f t="shared" si="6"/>
        <v>33</v>
      </c>
      <c r="K44" s="357">
        <v>33</v>
      </c>
      <c r="L44" s="355">
        <f t="shared" si="2"/>
        <v>0</v>
      </c>
      <c r="M44" s="358">
        <f t="shared" si="5"/>
        <v>0</v>
      </c>
      <c r="O44" s="353"/>
      <c r="Q44" s="234"/>
      <c r="R44" s="286"/>
      <c r="S44" s="515">
        <v>0.112</v>
      </c>
      <c r="T44" s="286"/>
      <c r="U44" s="515">
        <v>0.89359999999999995</v>
      </c>
      <c r="V44" s="516">
        <v>1.0542</v>
      </c>
      <c r="W44" s="516">
        <v>3.9E-2</v>
      </c>
      <c r="X44" s="287"/>
      <c r="Y44" s="287"/>
      <c r="Z44" s="287"/>
      <c r="AA44" s="287"/>
      <c r="AB44" s="287"/>
      <c r="AC44" s="287"/>
      <c r="AD44" s="287"/>
      <c r="AE44" s="288"/>
    </row>
    <row r="45" spans="1:31" ht="15.75" thickBot="1" x14ac:dyDescent="0.3">
      <c r="A45" s="220" t="s">
        <v>301</v>
      </c>
      <c r="B45" s="267" t="s">
        <v>300</v>
      </c>
      <c r="C45" s="268">
        <v>100</v>
      </c>
      <c r="D45" s="269" t="s">
        <v>1</v>
      </c>
      <c r="E45" s="348">
        <v>11</v>
      </c>
      <c r="F45" s="348">
        <v>3</v>
      </c>
      <c r="G45" s="348">
        <v>10</v>
      </c>
      <c r="H45" s="349"/>
      <c r="I45" s="350">
        <f t="shared" si="6"/>
        <v>24</v>
      </c>
      <c r="K45" s="351">
        <v>24</v>
      </c>
      <c r="L45" s="349">
        <f t="shared" si="2"/>
        <v>0</v>
      </c>
      <c r="M45" s="352">
        <f t="shared" si="5"/>
        <v>0</v>
      </c>
      <c r="O45" s="353"/>
      <c r="Q45" s="318"/>
      <c r="R45" s="319"/>
      <c r="S45" s="319"/>
      <c r="T45" s="319"/>
      <c r="U45" s="319"/>
      <c r="V45" s="319"/>
      <c r="W45" s="319"/>
      <c r="X45" s="320"/>
      <c r="Y45" s="320"/>
      <c r="Z45" s="320"/>
      <c r="AA45" s="320"/>
      <c r="AB45" s="320"/>
      <c r="AC45" s="320"/>
      <c r="AD45" s="320"/>
      <c r="AE45" s="321"/>
    </row>
    <row r="46" spans="1:31" ht="15.75" thickBot="1" x14ac:dyDescent="0.3">
      <c r="A46" s="246" t="s">
        <v>436</v>
      </c>
      <c r="B46" s="278" t="s">
        <v>374</v>
      </c>
      <c r="C46" s="279" t="s">
        <v>302</v>
      </c>
      <c r="D46" s="280" t="s">
        <v>1</v>
      </c>
      <c r="E46" s="354">
        <v>1</v>
      </c>
      <c r="F46" s="354"/>
      <c r="G46" s="354"/>
      <c r="H46" s="355"/>
      <c r="I46" s="356">
        <f t="shared" si="6"/>
        <v>1</v>
      </c>
      <c r="K46" s="357">
        <v>1</v>
      </c>
      <c r="L46" s="355">
        <f t="shared" si="2"/>
        <v>0</v>
      </c>
      <c r="M46" s="358">
        <f t="shared" ref="M46" si="7">L46/K46</f>
        <v>0</v>
      </c>
      <c r="O46" s="353"/>
    </row>
    <row r="47" spans="1:31" x14ac:dyDescent="0.25">
      <c r="A47" s="220" t="s">
        <v>375</v>
      </c>
      <c r="B47" s="267" t="s">
        <v>303</v>
      </c>
      <c r="C47" s="268" t="s">
        <v>304</v>
      </c>
      <c r="D47" s="269" t="s">
        <v>1</v>
      </c>
      <c r="E47" s="348">
        <f>(1)+(1)</f>
        <v>2</v>
      </c>
      <c r="F47" s="348">
        <v>1</v>
      </c>
      <c r="G47" s="348">
        <v>1</v>
      </c>
      <c r="H47" s="349"/>
      <c r="I47" s="350">
        <f t="shared" si="6"/>
        <v>4</v>
      </c>
      <c r="K47" s="351">
        <v>4</v>
      </c>
      <c r="L47" s="349">
        <f t="shared" si="2"/>
        <v>0</v>
      </c>
      <c r="M47" s="352">
        <f t="shared" si="5"/>
        <v>0</v>
      </c>
      <c r="O47" s="353"/>
      <c r="Q47" s="224" t="s">
        <v>281</v>
      </c>
      <c r="R47" s="262" t="s">
        <v>31</v>
      </c>
      <c r="S47" s="263"/>
      <c r="T47" s="264"/>
      <c r="U47" s="264"/>
      <c r="V47" s="264"/>
      <c r="W47" s="264"/>
      <c r="X47" s="265"/>
      <c r="Y47" s="265"/>
      <c r="Z47" s="265"/>
      <c r="AA47" s="265"/>
      <c r="AB47" s="265"/>
      <c r="AC47" s="265"/>
      <c r="AD47" s="265"/>
      <c r="AE47" s="266">
        <f>SUM(Q49:AE62)</f>
        <v>11.9122</v>
      </c>
    </row>
    <row r="48" spans="1:31" x14ac:dyDescent="0.25">
      <c r="A48" s="246" t="s">
        <v>376</v>
      </c>
      <c r="B48" s="278" t="s">
        <v>297</v>
      </c>
      <c r="C48" s="279" t="s">
        <v>278</v>
      </c>
      <c r="D48" s="280" t="s">
        <v>1</v>
      </c>
      <c r="E48" s="354">
        <v>1</v>
      </c>
      <c r="F48" s="354"/>
      <c r="G48" s="354"/>
      <c r="H48" s="355">
        <v>1</v>
      </c>
      <c r="I48" s="356">
        <f t="shared" si="6"/>
        <v>2</v>
      </c>
      <c r="K48" s="357">
        <v>2</v>
      </c>
      <c r="L48" s="355">
        <f t="shared" si="2"/>
        <v>0</v>
      </c>
      <c r="M48" s="358">
        <f t="shared" si="5"/>
        <v>0</v>
      </c>
      <c r="O48" s="353"/>
      <c r="Q48" s="231" t="s">
        <v>229</v>
      </c>
      <c r="R48" s="275"/>
      <c r="S48" s="275"/>
      <c r="T48" s="275"/>
      <c r="U48" s="275"/>
      <c r="V48" s="275"/>
      <c r="W48" s="275"/>
      <c r="X48" s="276"/>
      <c r="Y48" s="276"/>
      <c r="Z48" s="276"/>
      <c r="AA48" s="276"/>
      <c r="AB48" s="276"/>
      <c r="AC48" s="276"/>
      <c r="AD48" s="276"/>
      <c r="AE48" s="277"/>
    </row>
    <row r="49" spans="1:31" x14ac:dyDescent="0.25">
      <c r="A49" s="220" t="s">
        <v>437</v>
      </c>
      <c r="B49" s="267" t="s">
        <v>377</v>
      </c>
      <c r="C49" s="268" t="s">
        <v>318</v>
      </c>
      <c r="D49" s="269" t="s">
        <v>1</v>
      </c>
      <c r="E49" s="348">
        <f>1+1</f>
        <v>2</v>
      </c>
      <c r="F49" s="348"/>
      <c r="G49" s="348"/>
      <c r="H49" s="349"/>
      <c r="I49" s="350">
        <f t="shared" si="6"/>
        <v>2</v>
      </c>
      <c r="K49" s="351">
        <v>2</v>
      </c>
      <c r="L49" s="349">
        <f t="shared" si="2"/>
        <v>0</v>
      </c>
      <c r="M49" s="352">
        <f t="shared" si="5"/>
        <v>0</v>
      </c>
      <c r="O49" s="353"/>
      <c r="Q49" s="519">
        <v>6.2899999999999998E-2</v>
      </c>
      <c r="R49" s="515">
        <v>0.20849999999999999</v>
      </c>
      <c r="S49" s="515">
        <v>1.0604</v>
      </c>
      <c r="T49" s="286"/>
      <c r="U49" s="286"/>
      <c r="V49" s="286"/>
      <c r="W49" s="286"/>
      <c r="X49" s="287"/>
      <c r="Y49" s="287"/>
      <c r="Z49" s="287"/>
      <c r="AA49" s="287"/>
      <c r="AB49" s="287"/>
      <c r="AC49" s="287"/>
      <c r="AD49" s="287"/>
      <c r="AE49" s="288"/>
    </row>
    <row r="50" spans="1:31" ht="15.75" thickBot="1" x14ac:dyDescent="0.3">
      <c r="A50" s="246" t="s">
        <v>438</v>
      </c>
      <c r="B50" s="278" t="s">
        <v>297</v>
      </c>
      <c r="C50" s="279" t="s">
        <v>318</v>
      </c>
      <c r="D50" s="280" t="s">
        <v>1</v>
      </c>
      <c r="E50" s="354">
        <v>1</v>
      </c>
      <c r="F50" s="354"/>
      <c r="G50" s="354"/>
      <c r="H50" s="355"/>
      <c r="I50" s="356">
        <f t="shared" ref="I50" si="8">SUM(E50:H50)</f>
        <v>1</v>
      </c>
      <c r="K50" s="357">
        <v>1</v>
      </c>
      <c r="L50" s="355">
        <f t="shared" si="2"/>
        <v>0</v>
      </c>
      <c r="M50" s="358">
        <f t="shared" ref="M50" si="9">L50/K50</f>
        <v>0</v>
      </c>
      <c r="O50" s="353"/>
      <c r="Q50" s="519">
        <v>5.1499999999999997E-2</v>
      </c>
      <c r="R50" s="515">
        <v>0.156</v>
      </c>
      <c r="S50" s="515">
        <v>1.0179</v>
      </c>
      <c r="T50" s="286"/>
      <c r="U50" s="286"/>
      <c r="V50" s="286"/>
      <c r="W50" s="286"/>
      <c r="X50" s="287"/>
      <c r="Y50" s="287"/>
      <c r="Z50" s="287"/>
      <c r="AA50" s="287"/>
      <c r="AB50" s="287"/>
      <c r="AC50" s="287"/>
      <c r="AD50" s="287"/>
      <c r="AE50" s="359"/>
    </row>
    <row r="51" spans="1:31" ht="15.75" thickBot="1" x14ac:dyDescent="0.3">
      <c r="A51" s="210" t="s">
        <v>251</v>
      </c>
      <c r="B51" s="347"/>
      <c r="C51" s="212"/>
      <c r="D51" s="213"/>
      <c r="E51" s="214" t="s">
        <v>219</v>
      </c>
      <c r="F51" s="215" t="s">
        <v>220</v>
      </c>
      <c r="G51" s="215" t="s">
        <v>311</v>
      </c>
      <c r="H51" s="215" t="s">
        <v>253</v>
      </c>
      <c r="I51" s="216" t="s">
        <v>222</v>
      </c>
      <c r="K51" s="238" t="s">
        <v>36</v>
      </c>
      <c r="L51" s="700" t="s">
        <v>232</v>
      </c>
      <c r="M51" s="701"/>
      <c r="O51" s="240" t="s">
        <v>223</v>
      </c>
      <c r="Q51" s="519">
        <v>5.1499999999999997E-2</v>
      </c>
      <c r="R51" s="515">
        <v>0.19040000000000001</v>
      </c>
      <c r="S51" s="515">
        <v>2.64E-2</v>
      </c>
      <c r="T51" s="286"/>
      <c r="U51" s="286"/>
      <c r="V51" s="286"/>
      <c r="W51" s="286"/>
      <c r="X51" s="287"/>
      <c r="Y51" s="287"/>
      <c r="Z51" s="287"/>
      <c r="AA51" s="287"/>
      <c r="AB51" s="287"/>
      <c r="AC51" s="287"/>
      <c r="AD51" s="287"/>
      <c r="AE51" s="359"/>
    </row>
    <row r="52" spans="1:31" x14ac:dyDescent="0.25">
      <c r="A52" s="220"/>
      <c r="B52" s="267" t="s">
        <v>255</v>
      </c>
      <c r="C52" s="268">
        <v>40</v>
      </c>
      <c r="D52" s="269" t="s">
        <v>31</v>
      </c>
      <c r="E52" s="270">
        <f>SUM(Q4:AE14)</f>
        <v>10.771600000000001</v>
      </c>
      <c r="F52" s="270">
        <f>SUM(Q16:AE18)</f>
        <v>2.3571</v>
      </c>
      <c r="G52" s="270">
        <f>SUM(Q20:AE21)</f>
        <v>0.97030000000000005</v>
      </c>
      <c r="H52" s="271"/>
      <c r="I52" s="272">
        <f>SUM(E52:H52)</f>
        <v>14.099000000000002</v>
      </c>
      <c r="K52" s="360">
        <v>13</v>
      </c>
      <c r="L52" s="271">
        <f>K52-I52</f>
        <v>-1.099000000000002</v>
      </c>
      <c r="M52" s="352">
        <f>L52/K52</f>
        <v>-8.4538461538461687E-2</v>
      </c>
      <c r="O52" s="361"/>
      <c r="Q52" s="234"/>
      <c r="R52" s="286"/>
      <c r="S52" s="286"/>
      <c r="T52" s="286"/>
      <c r="U52" s="286"/>
      <c r="V52" s="286"/>
      <c r="W52" s="286"/>
      <c r="X52" s="287"/>
      <c r="Y52" s="287"/>
      <c r="Z52" s="287"/>
      <c r="AA52" s="287"/>
      <c r="AB52" s="287"/>
      <c r="AC52" s="287"/>
      <c r="AD52" s="287"/>
      <c r="AE52" s="359"/>
    </row>
    <row r="53" spans="1:31" x14ac:dyDescent="0.25">
      <c r="A53" s="246"/>
      <c r="B53" s="278" t="s">
        <v>255</v>
      </c>
      <c r="C53" s="279">
        <v>50</v>
      </c>
      <c r="D53" s="280" t="s">
        <v>31</v>
      </c>
      <c r="E53" s="168">
        <f>SUM(Q25:AE29)</f>
        <v>4.3132999999999999</v>
      </c>
      <c r="F53" s="168">
        <f>SUM(Q31:AE33)</f>
        <v>0.89359999999999995</v>
      </c>
      <c r="G53" s="168">
        <f>SUM(Q35:AE37)</f>
        <v>1.5721000000000001</v>
      </c>
      <c r="H53" s="281">
        <f>SUM(R39:AE45)</f>
        <v>18.861400000000003</v>
      </c>
      <c r="I53" s="282">
        <f>SUM(E53:H53)</f>
        <v>25.640400000000003</v>
      </c>
      <c r="K53" s="362">
        <v>25.64</v>
      </c>
      <c r="L53" s="281">
        <f>K53-I53</f>
        <v>-4.0000000000262048E-4</v>
      </c>
      <c r="M53" s="358">
        <f>L53/K53</f>
        <v>-1.56006240250632E-5</v>
      </c>
      <c r="O53" s="363"/>
      <c r="Q53" s="519">
        <v>0.2349</v>
      </c>
      <c r="R53" s="515">
        <v>0.46889999999999998</v>
      </c>
      <c r="S53" s="515">
        <v>0.16450000000000001</v>
      </c>
      <c r="T53" s="515">
        <v>0.34179999999999999</v>
      </c>
      <c r="U53" s="515">
        <v>0.25919999999999999</v>
      </c>
      <c r="V53" s="515">
        <v>5.45E-2</v>
      </c>
      <c r="W53" s="515">
        <v>0.28999999999999998</v>
      </c>
      <c r="X53" s="287"/>
      <c r="Y53" s="287"/>
      <c r="Z53" s="287"/>
      <c r="AA53" s="287"/>
      <c r="AB53" s="287"/>
      <c r="AC53" s="287"/>
      <c r="AD53" s="287"/>
      <c r="AE53" s="359"/>
    </row>
    <row r="54" spans="1:31" ht="15.75" thickBot="1" x14ac:dyDescent="0.3">
      <c r="A54" s="220"/>
      <c r="B54" s="267" t="s">
        <v>255</v>
      </c>
      <c r="C54" s="268">
        <v>100</v>
      </c>
      <c r="D54" s="269" t="s">
        <v>31</v>
      </c>
      <c r="E54" s="270">
        <f>SUM(Q49:AE54)</f>
        <v>4.6392999999999995</v>
      </c>
      <c r="F54" s="270">
        <f>SUM(Q61:AE62)</f>
        <v>1.8781000000000001</v>
      </c>
      <c r="G54" s="270">
        <f>SUM(Q56:AE59)</f>
        <v>5.3948</v>
      </c>
      <c r="H54" s="271"/>
      <c r="I54" s="272">
        <f>SUM(E54:H54)</f>
        <v>11.912199999999999</v>
      </c>
      <c r="K54" s="360">
        <v>11.91</v>
      </c>
      <c r="L54" s="271">
        <f>K54-I54</f>
        <v>-2.1999999999984254E-3</v>
      </c>
      <c r="M54" s="352">
        <f>L54/K54</f>
        <v>-1.847187237614127E-4</v>
      </c>
      <c r="O54" s="353"/>
      <c r="Q54" s="254"/>
      <c r="R54" s="335"/>
      <c r="S54" s="335"/>
      <c r="T54" s="335"/>
      <c r="U54" s="335"/>
      <c r="V54" s="335"/>
      <c r="W54" s="335"/>
      <c r="X54" s="336"/>
      <c r="Y54" s="336"/>
      <c r="Z54" s="336"/>
      <c r="AA54" s="336"/>
      <c r="AB54" s="336"/>
      <c r="AC54" s="336"/>
      <c r="AD54" s="336"/>
      <c r="AE54" s="337"/>
    </row>
    <row r="55" spans="1:31" ht="16.5" thickTop="1" thickBot="1" x14ac:dyDescent="0.3">
      <c r="A55" s="229"/>
      <c r="B55" s="338" t="s">
        <v>255</v>
      </c>
      <c r="C55" s="339">
        <v>150</v>
      </c>
      <c r="D55" s="340" t="s">
        <v>31</v>
      </c>
      <c r="E55" s="341">
        <f>SUM(R68:AE68)</f>
        <v>0.30069999999999997</v>
      </c>
      <c r="F55" s="341"/>
      <c r="G55" s="341">
        <f>SUM(R66:AE66)</f>
        <v>0.14499999999999999</v>
      </c>
      <c r="H55" s="341"/>
      <c r="I55" s="344">
        <f>SUM(E55:H55)</f>
        <v>0.44569999999999999</v>
      </c>
      <c r="K55" s="364">
        <v>0.45</v>
      </c>
      <c r="L55" s="342">
        <f>K55-I55</f>
        <v>4.300000000000026E-3</v>
      </c>
      <c r="M55" s="365">
        <f>L55/K55</f>
        <v>9.555555555555614E-3</v>
      </c>
      <c r="O55" s="346"/>
      <c r="Q55" s="231" t="s">
        <v>108</v>
      </c>
      <c r="R55" s="275"/>
      <c r="S55" s="275"/>
      <c r="T55" s="275"/>
      <c r="U55" s="275"/>
      <c r="V55" s="275"/>
      <c r="W55" s="275"/>
      <c r="X55" s="276"/>
      <c r="Y55" s="276"/>
      <c r="Z55" s="276"/>
      <c r="AA55" s="276"/>
      <c r="AB55" s="276"/>
      <c r="AC55" s="276"/>
      <c r="AD55" s="276"/>
      <c r="AE55" s="277"/>
    </row>
    <row r="56" spans="1:31" ht="15.75" thickBot="1" x14ac:dyDescent="0.3">
      <c r="Q56" s="519">
        <v>0.1648</v>
      </c>
      <c r="R56" s="286"/>
      <c r="S56" s="286"/>
      <c r="T56" s="286"/>
      <c r="U56" s="286"/>
      <c r="V56" s="286"/>
      <c r="W56" s="286"/>
      <c r="X56" s="287"/>
      <c r="Y56" s="287"/>
      <c r="Z56" s="287"/>
      <c r="AA56" s="287"/>
      <c r="AB56" s="287"/>
      <c r="AC56" s="287"/>
      <c r="AD56" s="287"/>
      <c r="AE56" s="359"/>
    </row>
    <row r="57" spans="1:31" ht="15.75" thickBot="1" x14ac:dyDescent="0.3">
      <c r="A57" s="532" t="s">
        <v>380</v>
      </c>
      <c r="B57" s="533"/>
      <c r="C57" s="534"/>
      <c r="D57" s="535"/>
      <c r="E57" s="536" t="s">
        <v>2</v>
      </c>
      <c r="F57" s="534" t="s">
        <v>3</v>
      </c>
      <c r="G57" s="534" t="s">
        <v>1</v>
      </c>
      <c r="H57" s="538" t="s">
        <v>381</v>
      </c>
      <c r="I57" s="539" t="s">
        <v>6</v>
      </c>
      <c r="J57"/>
      <c r="Q57" s="234"/>
      <c r="R57" s="515">
        <v>0.45590000000000003</v>
      </c>
      <c r="S57" s="515">
        <v>0.23899999999999999</v>
      </c>
      <c r="T57" s="515">
        <v>0.4718</v>
      </c>
      <c r="U57" s="515">
        <v>2.0649999999999999</v>
      </c>
      <c r="V57" s="515">
        <v>0.28100000000000003</v>
      </c>
      <c r="W57" s="515">
        <v>0.2336</v>
      </c>
      <c r="X57" s="516">
        <v>0.66310000000000002</v>
      </c>
      <c r="Y57" s="516">
        <v>0.44719999999999999</v>
      </c>
      <c r="Z57" s="287"/>
      <c r="AA57" s="287"/>
      <c r="AB57" s="287"/>
      <c r="AC57" s="287"/>
      <c r="AD57" s="287"/>
      <c r="AE57" s="288"/>
    </row>
    <row r="58" spans="1:31" x14ac:dyDescent="0.25">
      <c r="A58" s="522"/>
      <c r="B58" s="247" t="s">
        <v>382</v>
      </c>
      <c r="C58" s="523"/>
      <c r="D58" s="524" t="s">
        <v>31</v>
      </c>
      <c r="E58" s="484">
        <v>0.05</v>
      </c>
      <c r="F58" s="525"/>
      <c r="G58" s="250">
        <v>2</v>
      </c>
      <c r="H58" s="481"/>
      <c r="I58" s="540">
        <f>PI()*E58*G58</f>
        <v>0.31415926535897931</v>
      </c>
      <c r="J58"/>
      <c r="Q58" s="234"/>
      <c r="R58" s="286"/>
      <c r="S58" s="286"/>
      <c r="T58" s="286"/>
      <c r="U58" s="286"/>
      <c r="V58" s="286"/>
      <c r="W58" s="286"/>
      <c r="X58" s="287"/>
      <c r="Y58" s="516">
        <v>0.17560000000000001</v>
      </c>
      <c r="Z58" s="516">
        <v>0.1978</v>
      </c>
      <c r="AA58" s="287"/>
      <c r="AB58" s="287"/>
      <c r="AC58" s="287"/>
      <c r="AD58" s="287"/>
      <c r="AE58" s="288"/>
    </row>
    <row r="59" spans="1:31" ht="15.75" thickBot="1" x14ac:dyDescent="0.3">
      <c r="A59" s="526"/>
      <c r="B59" s="527" t="s">
        <v>383</v>
      </c>
      <c r="C59" s="528"/>
      <c r="D59" s="529" t="s">
        <v>35</v>
      </c>
      <c r="E59" s="530">
        <v>0.65</v>
      </c>
      <c r="F59" s="531">
        <v>0.65</v>
      </c>
      <c r="G59" s="496">
        <v>2</v>
      </c>
      <c r="H59" s="376">
        <f>G59*E59*F59</f>
        <v>0.84500000000000008</v>
      </c>
      <c r="I59" s="541"/>
      <c r="J59"/>
      <c r="Q59" s="254"/>
      <c r="R59" s="335"/>
      <c r="S59" s="335"/>
      <c r="T59" s="335"/>
      <c r="U59" s="335"/>
      <c r="V59" s="335"/>
      <c r="W59" s="335"/>
      <c r="X59" s="336"/>
      <c r="Y59" s="336"/>
      <c r="Z59" s="336"/>
      <c r="AA59" s="336"/>
      <c r="AB59" s="336"/>
      <c r="AC59" s="336"/>
      <c r="AD59" s="336"/>
      <c r="AE59" s="337"/>
    </row>
    <row r="60" spans="1:31" x14ac:dyDescent="0.25">
      <c r="B60" s="173"/>
      <c r="Q60" s="231" t="s">
        <v>242</v>
      </c>
      <c r="R60" s="275"/>
      <c r="S60" s="275"/>
      <c r="T60" s="275"/>
      <c r="U60" s="275"/>
      <c r="V60" s="275"/>
      <c r="W60" s="275"/>
      <c r="X60" s="276"/>
      <c r="Y60" s="276"/>
      <c r="Z60" s="276"/>
      <c r="AA60" s="276"/>
      <c r="AB60" s="276"/>
      <c r="AC60" s="276"/>
      <c r="AD60" s="276"/>
      <c r="AE60" s="277"/>
    </row>
    <row r="61" spans="1:31" x14ac:dyDescent="0.25">
      <c r="B61" s="173"/>
      <c r="Q61" s="519">
        <v>0.73729999999999996</v>
      </c>
      <c r="R61" s="515">
        <v>0.62549999999999994</v>
      </c>
      <c r="S61" s="515">
        <v>0.2276</v>
      </c>
      <c r="T61" s="515">
        <v>3.7000000000000002E-3</v>
      </c>
      <c r="U61" s="515">
        <v>0.28399999999999997</v>
      </c>
      <c r="V61" s="286"/>
      <c r="W61" s="286"/>
      <c r="X61" s="287"/>
      <c r="Y61" s="287"/>
      <c r="Z61" s="287"/>
      <c r="AA61" s="287"/>
      <c r="AB61" s="287"/>
      <c r="AC61" s="287"/>
      <c r="AD61" s="287"/>
      <c r="AE61" s="359"/>
    </row>
    <row r="62" spans="1:31" ht="15.75" thickBot="1" x14ac:dyDescent="0.3">
      <c r="B62" s="173"/>
      <c r="Q62" s="509"/>
      <c r="R62" s="510"/>
      <c r="S62" s="510"/>
      <c r="T62" s="510"/>
      <c r="U62" s="510"/>
      <c r="V62" s="510"/>
      <c r="W62" s="510"/>
      <c r="X62" s="511"/>
      <c r="Y62" s="511"/>
      <c r="Z62" s="511"/>
      <c r="AA62" s="511"/>
      <c r="AB62" s="511"/>
      <c r="AC62" s="511"/>
      <c r="AD62" s="511"/>
      <c r="AE62" s="512"/>
    </row>
    <row r="63" spans="1:31" ht="15.75" thickBot="1" x14ac:dyDescent="0.3">
      <c r="D63" s="366"/>
      <c r="F63" s="366"/>
      <c r="G63" s="366"/>
    </row>
    <row r="64" spans="1:31" x14ac:dyDescent="0.25">
      <c r="D64" s="366"/>
      <c r="F64" s="366"/>
      <c r="G64" s="366"/>
      <c r="Q64" s="224" t="s">
        <v>294</v>
      </c>
      <c r="R64" s="262" t="s">
        <v>31</v>
      </c>
      <c r="S64" s="263"/>
      <c r="T64" s="264"/>
      <c r="U64" s="264"/>
      <c r="V64" s="264"/>
      <c r="W64" s="264"/>
      <c r="X64" s="265"/>
      <c r="Y64" s="265"/>
      <c r="Z64" s="265"/>
      <c r="AA64" s="265"/>
      <c r="AB64" s="265"/>
      <c r="AC64" s="265"/>
      <c r="AD64" s="265"/>
      <c r="AE64" s="266">
        <f>SUM(R65:AE72)</f>
        <v>0.44569999999999999</v>
      </c>
    </row>
    <row r="65" spans="2:31" x14ac:dyDescent="0.25">
      <c r="D65" s="366"/>
      <c r="F65" s="366"/>
      <c r="G65" s="366"/>
      <c r="Q65" s="231" t="s">
        <v>108</v>
      </c>
      <c r="R65" s="275"/>
      <c r="S65" s="275"/>
      <c r="T65" s="275"/>
      <c r="U65" s="275"/>
      <c r="V65" s="275"/>
      <c r="W65" s="275"/>
      <c r="X65" s="276"/>
      <c r="Y65" s="276"/>
      <c r="Z65" s="276"/>
      <c r="AA65" s="276"/>
      <c r="AB65" s="276"/>
      <c r="AC65" s="276"/>
      <c r="AD65" s="276"/>
      <c r="AE65" s="277"/>
    </row>
    <row r="66" spans="2:31" ht="15.75" thickBot="1" x14ac:dyDescent="0.3">
      <c r="D66" s="366"/>
      <c r="F66" s="366"/>
      <c r="G66" s="366"/>
      <c r="Q66" s="254"/>
      <c r="R66" s="520">
        <v>0.14499999999999999</v>
      </c>
      <c r="S66" s="335"/>
      <c r="T66" s="335"/>
      <c r="U66" s="335"/>
      <c r="V66" s="335"/>
      <c r="W66" s="335"/>
      <c r="X66" s="336"/>
      <c r="Y66" s="336"/>
      <c r="Z66" s="336"/>
      <c r="AA66" s="336"/>
      <c r="AB66" s="336"/>
      <c r="AC66" s="336"/>
      <c r="AD66" s="336"/>
      <c r="AE66" s="337"/>
    </row>
    <row r="67" spans="2:31" ht="15.75" thickTop="1" x14ac:dyDescent="0.25">
      <c r="D67" s="366"/>
      <c r="F67" s="366"/>
      <c r="G67" s="366"/>
      <c r="Q67" s="231" t="s">
        <v>229</v>
      </c>
      <c r="R67" s="275"/>
      <c r="S67" s="275"/>
      <c r="T67" s="275"/>
      <c r="U67" s="275"/>
      <c r="V67" s="275"/>
      <c r="W67" s="275"/>
      <c r="X67" s="276"/>
      <c r="Y67" s="276"/>
      <c r="Z67" s="276"/>
      <c r="AA67" s="276"/>
      <c r="AB67" s="276"/>
      <c r="AC67" s="276"/>
      <c r="AD67" s="276"/>
      <c r="AE67" s="277"/>
    </row>
    <row r="68" spans="2:31" ht="15.75" thickBot="1" x14ac:dyDescent="0.3">
      <c r="D68" s="366"/>
      <c r="F68" s="366"/>
      <c r="G68" s="366"/>
      <c r="Q68" s="513"/>
      <c r="R68" s="521">
        <v>0.16569999999999999</v>
      </c>
      <c r="S68" s="521">
        <v>0.13500000000000001</v>
      </c>
      <c r="T68" s="510"/>
      <c r="U68" s="510"/>
      <c r="V68" s="510"/>
      <c r="W68" s="510"/>
      <c r="X68" s="511"/>
      <c r="Y68" s="511"/>
      <c r="Z68" s="511"/>
      <c r="AA68" s="511"/>
      <c r="AB68" s="511"/>
      <c r="AC68" s="511"/>
      <c r="AD68" s="511"/>
      <c r="AE68" s="512"/>
    </row>
    <row r="69" spans="2:31" x14ac:dyDescent="0.25">
      <c r="D69" s="366"/>
      <c r="F69" s="366"/>
      <c r="G69" s="366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</row>
    <row r="70" spans="2:31" x14ac:dyDescent="0.25">
      <c r="D70" s="366"/>
      <c r="F70" s="366"/>
      <c r="G70" s="366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</row>
    <row r="71" spans="2:31" x14ac:dyDescent="0.25">
      <c r="D71" s="366"/>
      <c r="F71" s="366"/>
      <c r="G71" s="366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</row>
    <row r="72" spans="2:31" x14ac:dyDescent="0.25">
      <c r="D72" s="366"/>
      <c r="F72" s="366"/>
      <c r="G72" s="366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2:31" x14ac:dyDescent="0.25">
      <c r="D73" s="366"/>
      <c r="F73" s="366"/>
      <c r="G73" s="366"/>
    </row>
    <row r="74" spans="2:31" x14ac:dyDescent="0.25">
      <c r="D74" s="366"/>
      <c r="F74" s="366"/>
      <c r="G74" s="366"/>
    </row>
    <row r="75" spans="2:31" x14ac:dyDescent="0.25">
      <c r="B75" s="173"/>
    </row>
    <row r="76" spans="2:31" x14ac:dyDescent="0.25">
      <c r="B76" s="173"/>
    </row>
    <row r="77" spans="2:31" x14ac:dyDescent="0.25">
      <c r="B77" s="173"/>
    </row>
    <row r="78" spans="2:31" x14ac:dyDescent="0.25">
      <c r="B78" s="173"/>
    </row>
    <row r="79" spans="2:31" x14ac:dyDescent="0.25">
      <c r="B79" s="173"/>
    </row>
    <row r="80" spans="2:31" x14ac:dyDescent="0.25">
      <c r="B80" s="173"/>
    </row>
    <row r="81" spans="2:2" x14ac:dyDescent="0.25">
      <c r="B81" s="173"/>
    </row>
    <row r="82" spans="2:2" x14ac:dyDescent="0.25">
      <c r="B82" s="173"/>
    </row>
    <row r="83" spans="2:2" x14ac:dyDescent="0.25">
      <c r="B83" s="173"/>
    </row>
    <row r="84" spans="2:2" x14ac:dyDescent="0.25">
      <c r="B84" s="173"/>
    </row>
    <row r="85" spans="2:2" x14ac:dyDescent="0.25">
      <c r="B85" s="173"/>
    </row>
    <row r="86" spans="2:2" x14ac:dyDescent="0.25">
      <c r="B86" s="173"/>
    </row>
    <row r="87" spans="2:2" x14ac:dyDescent="0.25">
      <c r="B87" s="173"/>
    </row>
    <row r="88" spans="2:2" x14ac:dyDescent="0.25">
      <c r="B88" s="173"/>
    </row>
    <row r="89" spans="2:2" x14ac:dyDescent="0.25">
      <c r="B89" s="173"/>
    </row>
    <row r="90" spans="2:2" x14ac:dyDescent="0.25">
      <c r="B90" s="173"/>
    </row>
    <row r="91" spans="2:2" x14ac:dyDescent="0.25">
      <c r="B91" s="173"/>
    </row>
  </sheetData>
  <mergeCells count="8">
    <mergeCell ref="L30:M30"/>
    <mergeCell ref="L51:M51"/>
    <mergeCell ref="N2:O2"/>
    <mergeCell ref="N13:O13"/>
    <mergeCell ref="K14:K17"/>
    <mergeCell ref="N19:O19"/>
    <mergeCell ref="L26:M26"/>
    <mergeCell ref="N23:O23"/>
  </mergeCells>
  <conditionalFormatting sqref="L52:M53 L31:M31 L33:M35">
    <cfRule type="cellIs" dxfId="40" priority="22" operator="equal">
      <formula>0</formula>
    </cfRule>
  </conditionalFormatting>
  <conditionalFormatting sqref="L32:M32">
    <cfRule type="cellIs" dxfId="39" priority="21" operator="equal">
      <formula>0</formula>
    </cfRule>
  </conditionalFormatting>
  <conditionalFormatting sqref="L36:M37">
    <cfRule type="cellIs" dxfId="38" priority="20" operator="equal">
      <formula>0</formula>
    </cfRule>
  </conditionalFormatting>
  <conditionalFormatting sqref="L38:M39">
    <cfRule type="cellIs" dxfId="37" priority="19" operator="equal">
      <formula>0</formula>
    </cfRule>
  </conditionalFormatting>
  <conditionalFormatting sqref="L40:M41">
    <cfRule type="cellIs" dxfId="36" priority="18" operator="equal">
      <formula>0</formula>
    </cfRule>
  </conditionalFormatting>
  <conditionalFormatting sqref="L42:M43">
    <cfRule type="cellIs" dxfId="35" priority="17" operator="equal">
      <formula>0</formula>
    </cfRule>
  </conditionalFormatting>
  <conditionalFormatting sqref="L44:M45">
    <cfRule type="cellIs" dxfId="34" priority="16" operator="equal">
      <formula>0</formula>
    </cfRule>
  </conditionalFormatting>
  <conditionalFormatting sqref="L55:M55">
    <cfRule type="cellIs" dxfId="33" priority="15" operator="equal">
      <formula>0</formula>
    </cfRule>
  </conditionalFormatting>
  <conditionalFormatting sqref="L54:M54">
    <cfRule type="cellIs" dxfId="32" priority="14" operator="equal">
      <formula>0</formula>
    </cfRule>
  </conditionalFormatting>
  <conditionalFormatting sqref="L28:M28">
    <cfRule type="cellIs" dxfId="31" priority="8" operator="equal">
      <formula>0</formula>
    </cfRule>
  </conditionalFormatting>
  <conditionalFormatting sqref="L47:M47">
    <cfRule type="cellIs" dxfId="30" priority="4" operator="equal">
      <formula>0</formula>
    </cfRule>
  </conditionalFormatting>
  <conditionalFormatting sqref="L27:M27">
    <cfRule type="cellIs" dxfId="29" priority="7" operator="equal">
      <formula>0</formula>
    </cfRule>
  </conditionalFormatting>
  <conditionalFormatting sqref="L48:M49">
    <cfRule type="cellIs" dxfId="28" priority="3" operator="equal">
      <formula>0</formula>
    </cfRule>
  </conditionalFormatting>
  <conditionalFormatting sqref="L50:M50">
    <cfRule type="cellIs" dxfId="27" priority="2" operator="equal">
      <formula>0</formula>
    </cfRule>
  </conditionalFormatting>
  <conditionalFormatting sqref="L46:M46">
    <cfRule type="cellIs" dxfId="26" priority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77"/>
  <sheetViews>
    <sheetView showGridLines="0" topLeftCell="A2" zoomScale="70" zoomScaleNormal="70" workbookViewId="0">
      <selection activeCell="AI50" sqref="AI50"/>
    </sheetView>
  </sheetViews>
  <sheetFormatPr defaultRowHeight="15" x14ac:dyDescent="0.25"/>
  <cols>
    <col min="1" max="1" width="7.85546875" style="173" customWidth="1"/>
    <col min="2" max="2" width="84.7109375" style="237" bestFit="1" customWidth="1"/>
    <col min="3" max="3" width="13.28515625" bestFit="1" customWidth="1"/>
    <col min="4" max="4" width="5.42578125" bestFit="1" customWidth="1"/>
    <col min="5" max="5" width="8.5703125" bestFit="1" customWidth="1"/>
    <col min="6" max="6" width="7.28515625" bestFit="1" customWidth="1"/>
    <col min="7" max="7" width="8.5703125" bestFit="1" customWidth="1"/>
    <col min="8" max="8" width="7.42578125" customWidth="1"/>
    <col min="9" max="9" width="2.7109375" customWidth="1"/>
    <col min="10" max="10" width="12.42578125" bestFit="1" customWidth="1"/>
    <col min="11" max="11" width="7.85546875" bestFit="1" customWidth="1"/>
    <col min="12" max="12" width="9.5703125" bestFit="1" customWidth="1"/>
    <col min="13" max="13" width="6.42578125" bestFit="1" customWidth="1"/>
    <col min="14" max="14" width="38.28515625" customWidth="1"/>
    <col min="15" max="15" width="4.5703125" bestFit="1" customWidth="1"/>
    <col min="16" max="16" width="31.85546875" bestFit="1" customWidth="1"/>
    <col min="17" max="17" width="28.7109375" bestFit="1" customWidth="1"/>
    <col min="18" max="18" width="8.28515625" bestFit="1" customWidth="1"/>
    <col min="19" max="19" width="2.7109375" bestFit="1" customWidth="1"/>
    <col min="20" max="23" width="7.42578125" bestFit="1" customWidth="1"/>
    <col min="24" max="24" width="8.42578125" bestFit="1" customWidth="1"/>
    <col min="25" max="25" width="13.140625" bestFit="1" customWidth="1"/>
    <col min="26" max="26" width="8.42578125" bestFit="1" customWidth="1"/>
    <col min="27" max="27" width="13.140625" bestFit="1" customWidth="1"/>
    <col min="28" max="28" width="12.28515625" bestFit="1" customWidth="1"/>
    <col min="29" max="29" width="8.42578125" bestFit="1" customWidth="1"/>
    <col min="30" max="30" width="13.140625" bestFit="1" customWidth="1"/>
    <col min="31" max="31" width="6.140625" bestFit="1" customWidth="1"/>
    <col min="32" max="32" width="4.28515625" bestFit="1" customWidth="1"/>
    <col min="33" max="33" width="9" bestFit="1" customWidth="1"/>
    <col min="35" max="36" width="8" customWidth="1"/>
    <col min="37" max="37" width="11.42578125" bestFit="1" customWidth="1"/>
    <col min="38" max="38" width="15" customWidth="1"/>
    <col min="39" max="39" width="2" customWidth="1"/>
    <col min="40" max="42" width="12.5703125" customWidth="1"/>
    <col min="43" max="43" width="2" customWidth="1"/>
    <col min="44" max="44" width="39.85546875" customWidth="1"/>
  </cols>
  <sheetData>
    <row r="1" spans="1:33" ht="15.75" thickBot="1" x14ac:dyDescent="0.3">
      <c r="B1" s="6"/>
    </row>
    <row r="2" spans="1:33" ht="15.75" thickBot="1" x14ac:dyDescent="0.3">
      <c r="A2" s="210" t="s">
        <v>218</v>
      </c>
      <c r="B2" s="211"/>
      <c r="C2" s="212"/>
      <c r="D2" s="213"/>
      <c r="E2" s="214" t="s">
        <v>219</v>
      </c>
      <c r="F2" s="215" t="s">
        <v>220</v>
      </c>
      <c r="G2" s="215" t="s">
        <v>342</v>
      </c>
      <c r="H2" s="453" t="s">
        <v>222</v>
      </c>
      <c r="M2" s="702" t="s">
        <v>223</v>
      </c>
      <c r="N2" s="703"/>
      <c r="P2" s="210" t="s">
        <v>390</v>
      </c>
      <c r="Q2" s="212"/>
      <c r="R2" s="212"/>
      <c r="S2" s="212"/>
      <c r="T2" s="212"/>
      <c r="U2" s="212"/>
      <c r="V2" s="212"/>
      <c r="W2" s="212"/>
      <c r="X2" s="212"/>
      <c r="Y2" s="212"/>
      <c r="Z2" s="212"/>
      <c r="AA2" s="212"/>
      <c r="AB2" s="238" t="s">
        <v>221</v>
      </c>
      <c r="AC2" s="219" t="s">
        <v>222</v>
      </c>
      <c r="AD2" s="238" t="s">
        <v>36</v>
      </c>
      <c r="AE2" s="700" t="s">
        <v>232</v>
      </c>
      <c r="AF2" s="701"/>
      <c r="AG2" s="240" t="s">
        <v>223</v>
      </c>
    </row>
    <row r="3" spans="1:33" ht="15.75" thickBot="1" x14ac:dyDescent="0.3">
      <c r="A3" s="345"/>
      <c r="B3" s="391" t="s">
        <v>344</v>
      </c>
      <c r="C3" s="392"/>
      <c r="D3" s="393" t="s">
        <v>31</v>
      </c>
      <c r="E3" s="468">
        <f>E11+E10</f>
        <v>17.551894130000001</v>
      </c>
      <c r="F3" s="394">
        <f>F11+F10</f>
        <v>7.478886769999999</v>
      </c>
      <c r="G3" s="394">
        <f>G11+G10</f>
        <v>7.5092867699999992</v>
      </c>
      <c r="H3" s="395">
        <f>SUM(E3:G3)*(1+M3)</f>
        <v>35.794074436999999</v>
      </c>
      <c r="M3" s="469" t="s">
        <v>226</v>
      </c>
      <c r="N3" s="470" t="s">
        <v>227</v>
      </c>
      <c r="P3" s="615" t="s">
        <v>421</v>
      </c>
      <c r="Q3" s="616" t="s">
        <v>400</v>
      </c>
      <c r="R3" s="473"/>
      <c r="S3" s="474" t="s">
        <v>31</v>
      </c>
      <c r="T3" s="474"/>
      <c r="U3" s="475"/>
      <c r="V3" s="475"/>
      <c r="W3" s="475"/>
      <c r="X3" s="475"/>
      <c r="Y3" s="475"/>
      <c r="Z3" s="475"/>
      <c r="AA3" s="475"/>
      <c r="AB3" s="476">
        <f>SUM(T4:AA26)</f>
        <v>93.995444719999981</v>
      </c>
      <c r="AC3" s="228">
        <f>SUM(AB3:AB36)</f>
        <v>147.91524502999997</v>
      </c>
      <c r="AD3" s="477">
        <f>0+0+39.68+43.49+38.89+30.84</f>
        <v>152.9</v>
      </c>
      <c r="AE3" s="475">
        <f>AD3-AC3</f>
        <v>4.98475497000004</v>
      </c>
      <c r="AF3" s="478">
        <f>AE3/AD3</f>
        <v>3.2601405951602616E-2</v>
      </c>
      <c r="AG3" s="479"/>
    </row>
    <row r="4" spans="1:33" ht="15.75" thickBot="1" x14ac:dyDescent="0.3">
      <c r="A4" s="210" t="s">
        <v>230</v>
      </c>
      <c r="B4" s="211"/>
      <c r="C4" s="212"/>
      <c r="D4" s="213"/>
      <c r="E4" s="214" t="s">
        <v>219</v>
      </c>
      <c r="F4" s="215" t="s">
        <v>220</v>
      </c>
      <c r="G4" s="215" t="s">
        <v>311</v>
      </c>
      <c r="H4" s="542" t="s">
        <v>222</v>
      </c>
      <c r="M4" s="702" t="s">
        <v>223</v>
      </c>
      <c r="N4" s="703"/>
      <c r="P4" s="614" t="s">
        <v>322</v>
      </c>
      <c r="Q4" s="247" t="s">
        <v>397</v>
      </c>
      <c r="R4" s="248"/>
      <c r="S4" s="249"/>
      <c r="T4" s="552">
        <v>1.63</v>
      </c>
      <c r="U4" s="568">
        <v>0.10995559000000001</v>
      </c>
      <c r="V4" s="552">
        <v>1.7236</v>
      </c>
      <c r="W4" s="607">
        <v>6.0999999999999999E-2</v>
      </c>
      <c r="X4" s="552"/>
      <c r="Y4" s="552"/>
      <c r="Z4" s="552"/>
      <c r="AA4" s="552"/>
      <c r="AB4" s="482"/>
      <c r="AC4" s="483"/>
      <c r="AD4" s="252"/>
      <c r="AE4" s="250"/>
      <c r="AF4" s="253"/>
      <c r="AG4" s="245"/>
    </row>
    <row r="5" spans="1:33" ht="15.75" thickBot="1" x14ac:dyDescent="0.3">
      <c r="A5" s="345" t="s">
        <v>392</v>
      </c>
      <c r="B5" s="391" t="s">
        <v>395</v>
      </c>
      <c r="C5" s="392" t="s">
        <v>430</v>
      </c>
      <c r="D5" s="393" t="s">
        <v>31</v>
      </c>
      <c r="E5" s="394">
        <f>E10</f>
        <v>8.1405049999999992</v>
      </c>
      <c r="F5" s="394">
        <f>F10</f>
        <v>4.566419999999999</v>
      </c>
      <c r="G5" s="394">
        <f>G10</f>
        <v>4.1386199999999995</v>
      </c>
      <c r="H5" s="395">
        <f>SUM(E5:G5)*(1+M5)</f>
        <v>18.530099499999999</v>
      </c>
      <c r="M5" s="389" t="s">
        <v>226</v>
      </c>
      <c r="N5" s="390" t="s">
        <v>227</v>
      </c>
      <c r="P5" s="246"/>
      <c r="Q5" s="247" t="s">
        <v>29</v>
      </c>
      <c r="R5" s="248"/>
      <c r="S5" s="249"/>
      <c r="T5" s="552">
        <v>1.69</v>
      </c>
      <c r="U5" s="613">
        <v>0.08</v>
      </c>
      <c r="V5" s="552"/>
      <c r="W5" s="552"/>
      <c r="X5" s="552"/>
      <c r="Y5" s="552"/>
      <c r="Z5" s="552"/>
      <c r="AA5" s="552"/>
      <c r="AB5" s="482"/>
      <c r="AC5" s="483"/>
      <c r="AD5" s="484"/>
      <c r="AE5" s="480"/>
      <c r="AF5" s="253"/>
      <c r="AG5" s="245"/>
    </row>
    <row r="6" spans="1:33" ht="15.75" thickBot="1" x14ac:dyDescent="0.3">
      <c r="A6" s="210" t="s">
        <v>350</v>
      </c>
      <c r="B6" s="211"/>
      <c r="C6" s="212"/>
      <c r="D6" s="213"/>
      <c r="E6" s="214" t="s">
        <v>219</v>
      </c>
      <c r="F6" s="215" t="s">
        <v>220</v>
      </c>
      <c r="G6" s="215" t="s">
        <v>311</v>
      </c>
      <c r="H6" s="542" t="s">
        <v>222</v>
      </c>
      <c r="M6" s="702" t="s">
        <v>223</v>
      </c>
      <c r="N6" s="703"/>
      <c r="P6" s="246"/>
      <c r="Q6" s="247" t="s">
        <v>398</v>
      </c>
      <c r="R6" s="248"/>
      <c r="S6" s="249"/>
      <c r="T6" s="552">
        <f>T5</f>
        <v>1.69</v>
      </c>
      <c r="U6" s="552">
        <f>U5</f>
        <v>0.08</v>
      </c>
      <c r="V6" s="552"/>
      <c r="W6" s="552"/>
      <c r="X6" s="552"/>
      <c r="Y6" s="552"/>
      <c r="Z6" s="552"/>
      <c r="AA6" s="552"/>
      <c r="AB6" s="482"/>
      <c r="AC6" s="483"/>
      <c r="AD6" s="484"/>
      <c r="AE6" s="480"/>
      <c r="AF6" s="253"/>
      <c r="AG6" s="245"/>
    </row>
    <row r="7" spans="1:33" ht="15.75" thickBot="1" x14ac:dyDescent="0.3">
      <c r="A7" s="345" t="s">
        <v>351</v>
      </c>
      <c r="B7" s="391" t="s">
        <v>395</v>
      </c>
      <c r="C7" s="392" t="s">
        <v>430</v>
      </c>
      <c r="D7" s="393" t="s">
        <v>31</v>
      </c>
      <c r="E7" s="468">
        <f>E11</f>
        <v>9.4113891300000017</v>
      </c>
      <c r="F7" s="394">
        <f>F11</f>
        <v>2.9124667700000004</v>
      </c>
      <c r="G7" s="394">
        <f>G11</f>
        <v>3.3706667700000001</v>
      </c>
      <c r="H7" s="395">
        <f>SUM(E7:G7)</f>
        <v>15.694522670000001</v>
      </c>
      <c r="M7" s="544"/>
      <c r="N7" s="545"/>
      <c r="P7" s="246"/>
      <c r="Q7" s="247" t="s">
        <v>403</v>
      </c>
      <c r="R7" s="248"/>
      <c r="S7" s="249"/>
      <c r="T7" s="607">
        <v>6.0999999999999999E-2</v>
      </c>
      <c r="U7" s="552">
        <v>1.7236</v>
      </c>
      <c r="V7" s="568">
        <v>0.10995559000000001</v>
      </c>
      <c r="W7" s="552">
        <v>1.429</v>
      </c>
      <c r="X7" s="613">
        <v>0.08</v>
      </c>
      <c r="Y7" s="552"/>
      <c r="Z7" s="552"/>
      <c r="AA7" s="552"/>
      <c r="AB7" s="482"/>
      <c r="AC7" s="483"/>
      <c r="AD7" s="484"/>
      <c r="AE7" s="480"/>
      <c r="AF7" s="253"/>
      <c r="AG7" s="245"/>
    </row>
    <row r="8" spans="1:33" ht="15.75" thickBot="1" x14ac:dyDescent="0.3">
      <c r="P8" s="246"/>
      <c r="Q8" s="247"/>
      <c r="R8" s="248"/>
      <c r="S8" s="249"/>
      <c r="T8" s="552"/>
      <c r="U8" s="552"/>
      <c r="V8" s="552"/>
      <c r="W8" s="552"/>
      <c r="X8" s="552"/>
      <c r="Y8" s="552"/>
      <c r="Z8" s="552"/>
      <c r="AA8" s="552"/>
      <c r="AB8" s="482"/>
      <c r="AC8" s="483"/>
      <c r="AD8" s="484"/>
      <c r="AE8" s="480"/>
      <c r="AF8" s="253"/>
      <c r="AG8" s="245"/>
    </row>
    <row r="9" spans="1:33" ht="15.75" thickBot="1" x14ac:dyDescent="0.3">
      <c r="A9" s="210" t="s">
        <v>344</v>
      </c>
      <c r="B9" s="211"/>
      <c r="C9" s="212"/>
      <c r="D9" s="213"/>
      <c r="E9" s="215" t="s">
        <v>219</v>
      </c>
      <c r="F9" s="215" t="s">
        <v>220</v>
      </c>
      <c r="G9" s="215" t="s">
        <v>311</v>
      </c>
      <c r="H9" s="537" t="s">
        <v>222</v>
      </c>
      <c r="J9" s="238" t="s">
        <v>36</v>
      </c>
      <c r="K9" s="700" t="s">
        <v>232</v>
      </c>
      <c r="L9" s="701"/>
      <c r="N9" s="240" t="s">
        <v>223</v>
      </c>
      <c r="P9" s="614" t="s">
        <v>108</v>
      </c>
      <c r="Q9" s="247" t="s">
        <v>397</v>
      </c>
      <c r="R9" s="248"/>
      <c r="S9" s="249"/>
      <c r="T9" s="552">
        <v>5.0010000000000003</v>
      </c>
      <c r="U9" s="568">
        <v>0.10995559000000001</v>
      </c>
      <c r="V9" s="552">
        <v>1.7876000000000001</v>
      </c>
      <c r="W9" s="607">
        <v>6.0999999999999999E-2</v>
      </c>
      <c r="X9" s="552"/>
      <c r="Y9" s="552"/>
      <c r="Z9" s="552"/>
      <c r="AA9" s="552"/>
      <c r="AB9" s="482"/>
      <c r="AC9" s="483"/>
      <c r="AD9" s="484"/>
      <c r="AE9" s="480"/>
      <c r="AF9" s="253"/>
      <c r="AG9" s="245"/>
    </row>
    <row r="10" spans="1:33" x14ac:dyDescent="0.25">
      <c r="A10" s="246" t="s">
        <v>392</v>
      </c>
      <c r="B10" s="247" t="s">
        <v>345</v>
      </c>
      <c r="C10" s="248" t="s">
        <v>228</v>
      </c>
      <c r="D10" s="249" t="s">
        <v>31</v>
      </c>
      <c r="E10" s="480">
        <f>(1.7876+0.5876+0.5876+0.5407+1.7876+1.7876)*1.15</f>
        <v>8.1405049999999992</v>
      </c>
      <c r="F10" s="480">
        <f>(1.7236+0.5236+1.7236)*1.15</f>
        <v>4.566419999999999</v>
      </c>
      <c r="G10" s="480">
        <f>(1.8112+1.7876)*1.15</f>
        <v>4.1386199999999995</v>
      </c>
      <c r="H10" s="505">
        <f>SUM(E10:G10)</f>
        <v>16.845544999999998</v>
      </c>
      <c r="J10" s="484">
        <v>16.850000000000001</v>
      </c>
      <c r="K10" s="480">
        <f>J10-H10</f>
        <v>4.4550000000036505E-3</v>
      </c>
      <c r="L10" s="493">
        <f>K10/J10</f>
        <v>2.6439169139487538E-4</v>
      </c>
      <c r="N10" s="245" t="s">
        <v>413</v>
      </c>
      <c r="P10" s="246"/>
      <c r="Q10" s="247" t="s">
        <v>29</v>
      </c>
      <c r="R10" s="248"/>
      <c r="S10" s="249"/>
      <c r="T10" s="552">
        <v>5.4980000000000002</v>
      </c>
      <c r="U10" s="613">
        <v>0.08</v>
      </c>
      <c r="V10" s="552">
        <v>0.92400000000000004</v>
      </c>
      <c r="W10" s="613">
        <v>0.08</v>
      </c>
      <c r="X10" s="552"/>
      <c r="Y10" s="552"/>
      <c r="Z10" s="552"/>
      <c r="AA10" s="552"/>
      <c r="AB10" s="482"/>
      <c r="AC10" s="483"/>
      <c r="AD10" s="484"/>
      <c r="AE10" s="480"/>
      <c r="AF10" s="253"/>
      <c r="AG10" s="245"/>
    </row>
    <row r="11" spans="1:33" ht="15.75" thickBot="1" x14ac:dyDescent="0.3">
      <c r="A11" s="220" t="s">
        <v>351</v>
      </c>
      <c r="B11" s="221" t="s">
        <v>345</v>
      </c>
      <c r="C11" s="222" t="s">
        <v>228</v>
      </c>
      <c r="D11" s="223" t="s">
        <v>31</v>
      </c>
      <c r="E11" s="490">
        <f>SUM(T67:W77)</f>
        <v>9.4113891300000017</v>
      </c>
      <c r="F11" s="490">
        <f>SUM(T58:W61)</f>
        <v>2.9124667700000004</v>
      </c>
      <c r="G11" s="490">
        <f>SUM(T63:W65)</f>
        <v>3.3706667700000001</v>
      </c>
      <c r="H11" s="491">
        <f>SUM(E11:G11)</f>
        <v>15.694522670000001</v>
      </c>
      <c r="J11" s="489">
        <v>16.399999999999999</v>
      </c>
      <c r="K11" s="490">
        <f>J11-H11</f>
        <v>0.70547732999999724</v>
      </c>
      <c r="L11" s="492">
        <f>K11/J11</f>
        <v>4.3016910365853492E-2</v>
      </c>
      <c r="N11" s="245"/>
      <c r="P11" s="246"/>
      <c r="Q11" s="247" t="s">
        <v>398</v>
      </c>
      <c r="R11" s="248"/>
      <c r="S11" s="249"/>
      <c r="T11" s="552">
        <f>T10</f>
        <v>5.4980000000000002</v>
      </c>
      <c r="U11" s="613">
        <f>U10</f>
        <v>0.08</v>
      </c>
      <c r="V11" s="552">
        <f>V10</f>
        <v>0.92400000000000004</v>
      </c>
      <c r="W11" s="613">
        <f>W10</f>
        <v>0.08</v>
      </c>
      <c r="X11" s="552"/>
      <c r="Y11" s="552"/>
      <c r="Z11" s="552"/>
      <c r="AA11" s="552"/>
      <c r="AB11" s="482"/>
      <c r="AC11" s="483"/>
      <c r="AD11" s="484"/>
      <c r="AE11" s="480"/>
      <c r="AF11" s="253"/>
      <c r="AG11" s="245"/>
    </row>
    <row r="12" spans="1:33" ht="15.75" thickBot="1" x14ac:dyDescent="0.3">
      <c r="A12" s="210" t="s">
        <v>394</v>
      </c>
      <c r="B12" s="211"/>
      <c r="C12" s="212"/>
      <c r="D12" s="213"/>
      <c r="E12" s="215" t="s">
        <v>219</v>
      </c>
      <c r="F12" s="215" t="s">
        <v>220</v>
      </c>
      <c r="G12" s="215" t="s">
        <v>311</v>
      </c>
      <c r="H12" s="537" t="s">
        <v>222</v>
      </c>
      <c r="J12" s="238" t="s">
        <v>36</v>
      </c>
      <c r="K12" s="700" t="s">
        <v>232</v>
      </c>
      <c r="L12" s="701"/>
      <c r="N12" s="240" t="s">
        <v>223</v>
      </c>
      <c r="P12" s="246"/>
      <c r="Q12" s="247" t="s">
        <v>402</v>
      </c>
      <c r="R12" s="248"/>
      <c r="S12" s="249"/>
      <c r="T12" s="607">
        <v>6.0999999999999999E-2</v>
      </c>
      <c r="U12" s="552">
        <v>1.7876000000000001</v>
      </c>
      <c r="V12" s="568">
        <v>0.10995559000000001</v>
      </c>
      <c r="W12" s="552">
        <v>3.5470000000000002</v>
      </c>
      <c r="X12" s="613">
        <v>0.08</v>
      </c>
      <c r="Y12" s="552">
        <v>0.92400000000000004</v>
      </c>
      <c r="Z12" s="613">
        <v>0.08</v>
      </c>
      <c r="AA12" s="552"/>
      <c r="AB12" s="482"/>
      <c r="AC12" s="483"/>
      <c r="AD12" s="484"/>
      <c r="AE12" s="480"/>
      <c r="AF12" s="253"/>
      <c r="AG12" s="245"/>
    </row>
    <row r="13" spans="1:33" x14ac:dyDescent="0.25">
      <c r="A13" s="220" t="s">
        <v>369</v>
      </c>
      <c r="B13" s="221" t="s">
        <v>370</v>
      </c>
      <c r="C13" s="222" t="s">
        <v>250</v>
      </c>
      <c r="D13" s="223" t="s">
        <v>1</v>
      </c>
      <c r="E13" s="241">
        <f>7+4</f>
        <v>11</v>
      </c>
      <c r="F13" s="241">
        <v>4</v>
      </c>
      <c r="G13" s="241">
        <v>2</v>
      </c>
      <c r="H13" s="242">
        <f t="shared" ref="H13" si="0">SUM(E13:G13)</f>
        <v>17</v>
      </c>
      <c r="J13" s="243">
        <v>17</v>
      </c>
      <c r="K13" s="241">
        <f t="shared" ref="K13:K16" si="1">J13-H13</f>
        <v>0</v>
      </c>
      <c r="L13" s="492">
        <f t="shared" ref="L13:L16" si="2">K13/J13</f>
        <v>0</v>
      </c>
      <c r="N13" s="245"/>
      <c r="P13" s="246"/>
      <c r="Q13" s="247"/>
      <c r="R13" s="248"/>
      <c r="S13" s="249"/>
      <c r="T13" s="552"/>
      <c r="U13" s="552"/>
      <c r="V13" s="552"/>
      <c r="W13" s="552"/>
      <c r="X13" s="552"/>
      <c r="Y13" s="552"/>
      <c r="Z13" s="552"/>
      <c r="AA13" s="552"/>
      <c r="AB13" s="482"/>
      <c r="AC13" s="483"/>
      <c r="AD13" s="484"/>
      <c r="AE13" s="480"/>
      <c r="AF13" s="253"/>
      <c r="AG13" s="245"/>
    </row>
    <row r="14" spans="1:33" x14ac:dyDescent="0.25">
      <c r="A14" s="246" t="s">
        <v>371</v>
      </c>
      <c r="B14" s="247" t="s">
        <v>393</v>
      </c>
      <c r="C14" s="248" t="s">
        <v>250</v>
      </c>
      <c r="D14" s="249" t="s">
        <v>1</v>
      </c>
      <c r="E14" s="250"/>
      <c r="F14" s="250"/>
      <c r="G14" s="250">
        <v>4</v>
      </c>
      <c r="H14" s="251">
        <f t="shared" ref="H14" si="3">SUM(E14:G14)</f>
        <v>4</v>
      </c>
      <c r="J14" s="252">
        <v>4</v>
      </c>
      <c r="K14" s="250">
        <f t="shared" si="1"/>
        <v>0</v>
      </c>
      <c r="L14" s="493">
        <f t="shared" si="2"/>
        <v>0</v>
      </c>
      <c r="N14" s="245"/>
      <c r="P14" s="614" t="s">
        <v>320</v>
      </c>
      <c r="Q14" s="247" t="s">
        <v>397</v>
      </c>
      <c r="R14" s="248"/>
      <c r="S14" s="249"/>
      <c r="T14" s="552">
        <v>4.5819999999999999</v>
      </c>
      <c r="U14" s="568">
        <v>0.10995559000000001</v>
      </c>
      <c r="V14" s="552">
        <v>1.7876000000000001</v>
      </c>
      <c r="W14" s="607">
        <v>6.0999999999999999E-2</v>
      </c>
      <c r="X14" s="552"/>
      <c r="Y14" s="552"/>
      <c r="Z14" s="552"/>
      <c r="AA14" s="552"/>
      <c r="AB14" s="482"/>
      <c r="AC14" s="483"/>
      <c r="AD14" s="484"/>
      <c r="AE14" s="480"/>
      <c r="AF14" s="253"/>
      <c r="AG14" s="245"/>
    </row>
    <row r="15" spans="1:33" x14ac:dyDescent="0.25">
      <c r="A15" s="220" t="s">
        <v>372</v>
      </c>
      <c r="B15" s="221" t="s">
        <v>373</v>
      </c>
      <c r="C15" s="222" t="s">
        <v>250</v>
      </c>
      <c r="D15" s="223" t="s">
        <v>1</v>
      </c>
      <c r="E15" s="241">
        <v>10</v>
      </c>
      <c r="F15" s="241"/>
      <c r="G15" s="241">
        <v>1</v>
      </c>
      <c r="H15" s="242">
        <f t="shared" ref="H15" si="4">SUM(E15:G15)</f>
        <v>11</v>
      </c>
      <c r="J15" s="243">
        <v>11</v>
      </c>
      <c r="K15" s="241">
        <f t="shared" si="1"/>
        <v>0</v>
      </c>
      <c r="L15" s="492">
        <f t="shared" si="2"/>
        <v>0</v>
      </c>
      <c r="N15" s="245"/>
      <c r="P15" s="246"/>
      <c r="Q15" s="247" t="s">
        <v>29</v>
      </c>
      <c r="R15" s="248"/>
      <c r="S15" s="249"/>
      <c r="T15" s="552">
        <v>6.6619999999999999</v>
      </c>
      <c r="U15" s="552">
        <v>0.61399999999999999</v>
      </c>
      <c r="V15" s="613">
        <v>0.08</v>
      </c>
      <c r="W15" s="552"/>
      <c r="X15" s="552"/>
      <c r="Y15" s="552"/>
      <c r="Z15" s="552"/>
      <c r="AA15" s="552"/>
      <c r="AB15" s="482"/>
      <c r="AC15" s="483"/>
      <c r="AD15" s="484"/>
      <c r="AE15" s="480"/>
      <c r="AF15" s="253"/>
      <c r="AG15" s="245"/>
    </row>
    <row r="16" spans="1:33" ht="15.75" thickBot="1" x14ac:dyDescent="0.3">
      <c r="A16" s="246" t="s">
        <v>411</v>
      </c>
      <c r="B16" s="247" t="s">
        <v>412</v>
      </c>
      <c r="C16" s="248" t="s">
        <v>250</v>
      </c>
      <c r="D16" s="249" t="s">
        <v>1</v>
      </c>
      <c r="E16" s="250"/>
      <c r="F16" s="250"/>
      <c r="G16" s="250">
        <v>1</v>
      </c>
      <c r="H16" s="251">
        <f t="shared" ref="H16" si="5">SUM(E16:G16)</f>
        <v>1</v>
      </c>
      <c r="J16" s="252">
        <v>1</v>
      </c>
      <c r="K16" s="250">
        <f t="shared" si="1"/>
        <v>0</v>
      </c>
      <c r="L16" s="493">
        <f t="shared" si="2"/>
        <v>0</v>
      </c>
      <c r="N16" s="245"/>
      <c r="P16" s="246"/>
      <c r="Q16" s="247" t="s">
        <v>398</v>
      </c>
      <c r="R16" s="248"/>
      <c r="S16" s="249"/>
      <c r="T16" s="552">
        <f>T15</f>
        <v>6.6619999999999999</v>
      </c>
      <c r="U16" s="552">
        <f>U15</f>
        <v>0.61399999999999999</v>
      </c>
      <c r="V16" s="613">
        <f>V15</f>
        <v>0.08</v>
      </c>
      <c r="W16" s="552"/>
      <c r="X16" s="552"/>
      <c r="Y16" s="552"/>
      <c r="Z16" s="552"/>
      <c r="AA16" s="552"/>
      <c r="AB16" s="482"/>
      <c r="AC16" s="483"/>
      <c r="AD16" s="484"/>
      <c r="AE16" s="480"/>
      <c r="AF16" s="253"/>
      <c r="AG16" s="245"/>
    </row>
    <row r="17" spans="1:33" ht="15.75" thickBot="1" x14ac:dyDescent="0.3">
      <c r="A17" s="210" t="s">
        <v>346</v>
      </c>
      <c r="B17" s="211"/>
      <c r="C17" s="212"/>
      <c r="D17" s="213"/>
      <c r="E17" s="215" t="s">
        <v>219</v>
      </c>
      <c r="F17" s="215" t="s">
        <v>220</v>
      </c>
      <c r="G17" s="215" t="s">
        <v>311</v>
      </c>
      <c r="H17" s="537" t="s">
        <v>222</v>
      </c>
      <c r="J17" s="238" t="s">
        <v>36</v>
      </c>
      <c r="K17" s="700" t="s">
        <v>232</v>
      </c>
      <c r="L17" s="701"/>
      <c r="N17" s="240" t="s">
        <v>223</v>
      </c>
      <c r="P17" s="246"/>
      <c r="Q17" s="247" t="s">
        <v>404</v>
      </c>
      <c r="R17" s="248"/>
      <c r="S17" s="249"/>
      <c r="T17" s="607">
        <v>6.0999999999999999E-2</v>
      </c>
      <c r="U17" s="552">
        <v>1.7876000000000001</v>
      </c>
      <c r="V17" s="568">
        <v>0.10995559000000001</v>
      </c>
      <c r="W17" s="552">
        <v>4.2990000000000004</v>
      </c>
      <c r="X17" s="552"/>
      <c r="Y17" s="552"/>
      <c r="Z17" s="552"/>
      <c r="AA17" s="552"/>
      <c r="AB17" s="482"/>
      <c r="AC17" s="483"/>
      <c r="AD17" s="484"/>
      <c r="AE17" s="480"/>
      <c r="AF17" s="253"/>
      <c r="AG17" s="245"/>
    </row>
    <row r="18" spans="1:33" x14ac:dyDescent="0.25">
      <c r="A18" s="220" t="s">
        <v>347</v>
      </c>
      <c r="B18" s="221" t="s">
        <v>348</v>
      </c>
      <c r="C18" s="222" t="s">
        <v>355</v>
      </c>
      <c r="D18" s="223" t="s">
        <v>1</v>
      </c>
      <c r="E18" s="241">
        <f>3+3</f>
        <v>6</v>
      </c>
      <c r="F18" s="241">
        <v>3</v>
      </c>
      <c r="G18" s="241">
        <v>2</v>
      </c>
      <c r="H18" s="242">
        <f t="shared" ref="H18:H23" si="6">SUM(E18:G18)</f>
        <v>11</v>
      </c>
      <c r="J18" s="243">
        <v>11</v>
      </c>
      <c r="K18" s="241">
        <f t="shared" ref="K18:K19" si="7">J18-H18</f>
        <v>0</v>
      </c>
      <c r="L18" s="492">
        <f t="shared" ref="L18:L19" si="8">K18/J18</f>
        <v>0</v>
      </c>
      <c r="N18" s="245"/>
      <c r="P18" s="246"/>
      <c r="Q18" s="247"/>
      <c r="R18" s="248"/>
      <c r="S18" s="249"/>
      <c r="T18" s="552"/>
      <c r="U18" s="552"/>
      <c r="V18" s="552"/>
      <c r="W18" s="552">
        <v>0.61399999999999999</v>
      </c>
      <c r="X18" s="613">
        <v>0.08</v>
      </c>
      <c r="Y18" s="552"/>
      <c r="Z18" s="552"/>
      <c r="AA18" s="552"/>
      <c r="AB18" s="482"/>
      <c r="AC18" s="483"/>
      <c r="AD18" s="484"/>
      <c r="AE18" s="480"/>
      <c r="AF18" s="253"/>
      <c r="AG18" s="245"/>
    </row>
    <row r="19" spans="1:33" x14ac:dyDescent="0.25">
      <c r="A19" s="246" t="s">
        <v>271</v>
      </c>
      <c r="B19" s="247" t="s">
        <v>356</v>
      </c>
      <c r="C19" s="248" t="s">
        <v>357</v>
      </c>
      <c r="D19" s="249" t="s">
        <v>1</v>
      </c>
      <c r="E19" s="250">
        <v>4</v>
      </c>
      <c r="F19" s="250">
        <v>1</v>
      </c>
      <c r="G19" s="250">
        <v>2</v>
      </c>
      <c r="H19" s="251">
        <f t="shared" si="6"/>
        <v>7</v>
      </c>
      <c r="J19" s="252">
        <v>7</v>
      </c>
      <c r="K19" s="250">
        <f t="shared" si="7"/>
        <v>0</v>
      </c>
      <c r="L19" s="493">
        <f t="shared" si="8"/>
        <v>0</v>
      </c>
      <c r="N19" s="245"/>
      <c r="P19" s="246"/>
      <c r="Q19" s="247"/>
      <c r="R19" s="248"/>
      <c r="S19" s="249"/>
      <c r="T19" s="552"/>
      <c r="U19" s="552"/>
      <c r="V19" s="552"/>
      <c r="W19" s="552">
        <v>0.61399999999999999</v>
      </c>
      <c r="X19" s="613">
        <v>0.08</v>
      </c>
      <c r="Y19" s="552"/>
      <c r="Z19" s="552"/>
      <c r="AA19" s="552"/>
      <c r="AB19" s="482"/>
      <c r="AC19" s="483"/>
      <c r="AD19" s="484"/>
      <c r="AE19" s="480"/>
      <c r="AF19" s="253"/>
      <c r="AG19" s="245"/>
    </row>
    <row r="20" spans="1:33" x14ac:dyDescent="0.25">
      <c r="A20" s="220" t="s">
        <v>274</v>
      </c>
      <c r="B20" s="221" t="s">
        <v>386</v>
      </c>
      <c r="C20" s="222" t="s">
        <v>358</v>
      </c>
      <c r="D20" s="223" t="s">
        <v>1</v>
      </c>
      <c r="E20" s="241">
        <v>2</v>
      </c>
      <c r="F20" s="241">
        <v>1</v>
      </c>
      <c r="G20" s="241">
        <v>1</v>
      </c>
      <c r="H20" s="242">
        <f t="shared" si="6"/>
        <v>4</v>
      </c>
      <c r="J20" s="243">
        <v>4</v>
      </c>
      <c r="K20" s="241">
        <f t="shared" ref="K20:K23" si="9">J20-H20</f>
        <v>0</v>
      </c>
      <c r="L20" s="492">
        <f t="shared" ref="L20:L23" si="10">K20/J20</f>
        <v>0</v>
      </c>
      <c r="N20" s="245"/>
      <c r="P20" s="246"/>
      <c r="Q20" s="247"/>
      <c r="R20" s="248"/>
      <c r="S20" s="249"/>
      <c r="T20" s="552"/>
      <c r="U20" s="552"/>
      <c r="V20" s="552"/>
      <c r="W20" s="552"/>
      <c r="X20" s="552"/>
      <c r="Y20" s="552"/>
      <c r="Z20" s="552"/>
      <c r="AA20" s="552"/>
      <c r="AB20" s="482"/>
      <c r="AC20" s="483"/>
      <c r="AD20" s="484"/>
      <c r="AE20" s="480"/>
      <c r="AF20" s="253"/>
      <c r="AG20" s="245"/>
    </row>
    <row r="21" spans="1:33" x14ac:dyDescent="0.25">
      <c r="A21" s="246" t="s">
        <v>276</v>
      </c>
      <c r="B21" s="247" t="s">
        <v>389</v>
      </c>
      <c r="C21" s="248" t="s">
        <v>359</v>
      </c>
      <c r="D21" s="249" t="s">
        <v>1</v>
      </c>
      <c r="E21" s="250">
        <v>4</v>
      </c>
      <c r="F21" s="250">
        <v>1</v>
      </c>
      <c r="G21" s="250">
        <v>2</v>
      </c>
      <c r="H21" s="251">
        <f t="shared" si="6"/>
        <v>7</v>
      </c>
      <c r="J21" s="252">
        <v>7</v>
      </c>
      <c r="K21" s="250">
        <f t="shared" si="9"/>
        <v>0</v>
      </c>
      <c r="L21" s="493">
        <f t="shared" si="10"/>
        <v>0</v>
      </c>
      <c r="N21" s="245"/>
      <c r="P21" s="246"/>
      <c r="Q21" s="247" t="s">
        <v>397</v>
      </c>
      <c r="R21" s="248"/>
      <c r="S21" s="249"/>
      <c r="T21" s="552">
        <v>4.2770000000000001</v>
      </c>
      <c r="U21" s="568">
        <v>0.10995559000000001</v>
      </c>
      <c r="V21" s="552">
        <v>1.7876000000000001</v>
      </c>
      <c r="W21" s="607">
        <v>6.0999999999999999E-2</v>
      </c>
      <c r="X21" s="552"/>
      <c r="Y21" s="552"/>
      <c r="Z21" s="552"/>
      <c r="AA21" s="552"/>
      <c r="AB21" s="482"/>
      <c r="AC21" s="483"/>
      <c r="AD21" s="484"/>
      <c r="AE21" s="480"/>
      <c r="AF21" s="253"/>
      <c r="AG21" s="245"/>
    </row>
    <row r="22" spans="1:33" x14ac:dyDescent="0.25">
      <c r="A22" s="220" t="s">
        <v>287</v>
      </c>
      <c r="B22" s="221" t="s">
        <v>420</v>
      </c>
      <c r="C22" s="222" t="s">
        <v>388</v>
      </c>
      <c r="D22" s="223" t="s">
        <v>1</v>
      </c>
      <c r="E22" s="241">
        <v>1</v>
      </c>
      <c r="F22" s="241">
        <v>1</v>
      </c>
      <c r="G22" s="241">
        <v>1</v>
      </c>
      <c r="H22" s="242">
        <f t="shared" si="6"/>
        <v>3</v>
      </c>
      <c r="J22" s="243">
        <v>3</v>
      </c>
      <c r="K22" s="241">
        <f t="shared" si="9"/>
        <v>0</v>
      </c>
      <c r="L22" s="492">
        <f t="shared" si="10"/>
        <v>0</v>
      </c>
      <c r="N22" s="245"/>
      <c r="P22" s="246"/>
      <c r="Q22" s="247" t="s">
        <v>29</v>
      </c>
      <c r="R22" s="248"/>
      <c r="S22" s="249"/>
      <c r="T22" s="552">
        <v>6.6619999999999999</v>
      </c>
      <c r="U22" s="552">
        <v>0.69799999999999995</v>
      </c>
      <c r="V22" s="613">
        <v>0.08</v>
      </c>
      <c r="W22" s="552"/>
      <c r="X22" s="552"/>
      <c r="Y22" s="552"/>
      <c r="Z22" s="552"/>
      <c r="AA22" s="552"/>
      <c r="AB22" s="482"/>
      <c r="AC22" s="483"/>
      <c r="AD22" s="484"/>
      <c r="AE22" s="480"/>
      <c r="AF22" s="253"/>
      <c r="AG22" s="245"/>
    </row>
    <row r="23" spans="1:33" ht="15.75" thickBot="1" x14ac:dyDescent="0.3">
      <c r="A23" s="246" t="s">
        <v>289</v>
      </c>
      <c r="B23" s="247" t="s">
        <v>387</v>
      </c>
      <c r="C23" s="248" t="s">
        <v>355</v>
      </c>
      <c r="D23" s="249" t="s">
        <v>1</v>
      </c>
      <c r="E23" s="250">
        <v>3</v>
      </c>
      <c r="F23" s="250">
        <v>1</v>
      </c>
      <c r="G23" s="250"/>
      <c r="H23" s="251">
        <f t="shared" si="6"/>
        <v>4</v>
      </c>
      <c r="J23" s="252">
        <v>4</v>
      </c>
      <c r="K23" s="250">
        <f t="shared" si="9"/>
        <v>0</v>
      </c>
      <c r="L23" s="493">
        <f t="shared" si="10"/>
        <v>0</v>
      </c>
      <c r="N23" s="245"/>
      <c r="P23" s="246"/>
      <c r="Q23" s="247" t="s">
        <v>398</v>
      </c>
      <c r="R23" s="248"/>
      <c r="S23" s="249"/>
      <c r="T23" s="552">
        <f>T22</f>
        <v>6.6619999999999999</v>
      </c>
      <c r="U23" s="552">
        <v>7.0999999999999994E-2</v>
      </c>
      <c r="V23" s="613">
        <f>V22</f>
        <v>0.08</v>
      </c>
      <c r="W23" s="552"/>
      <c r="X23" s="552"/>
      <c r="Y23" s="552"/>
      <c r="Z23" s="552"/>
      <c r="AA23" s="552"/>
      <c r="AB23" s="482"/>
      <c r="AC23" s="483"/>
      <c r="AD23" s="484"/>
      <c r="AE23" s="480"/>
      <c r="AF23" s="253"/>
      <c r="AG23" s="245"/>
    </row>
    <row r="24" spans="1:33" ht="15.75" thickBot="1" x14ac:dyDescent="0.3">
      <c r="A24" s="210" t="s">
        <v>349</v>
      </c>
      <c r="B24" s="211"/>
      <c r="C24" s="212"/>
      <c r="D24" s="213"/>
      <c r="E24" s="215" t="s">
        <v>219</v>
      </c>
      <c r="F24" s="215" t="s">
        <v>220</v>
      </c>
      <c r="G24" s="215" t="s">
        <v>311</v>
      </c>
      <c r="H24" s="537" t="s">
        <v>222</v>
      </c>
      <c r="J24" s="238" t="s">
        <v>36</v>
      </c>
      <c r="K24" s="700" t="s">
        <v>232</v>
      </c>
      <c r="L24" s="701"/>
      <c r="N24" s="240" t="s">
        <v>223</v>
      </c>
      <c r="P24" s="246"/>
      <c r="Q24" s="247" t="s">
        <v>405</v>
      </c>
      <c r="R24" s="248"/>
      <c r="S24" s="249"/>
      <c r="T24" s="607">
        <v>6.0999999999999999E-2</v>
      </c>
      <c r="U24" s="552">
        <v>1.7876000000000001</v>
      </c>
      <c r="V24" s="568">
        <v>0.10995559000000001</v>
      </c>
      <c r="W24" s="552">
        <v>4.54</v>
      </c>
      <c r="X24" s="552"/>
      <c r="Y24" s="552"/>
      <c r="Z24" s="552"/>
      <c r="AA24" s="552"/>
      <c r="AB24" s="482"/>
      <c r="AC24" s="483"/>
      <c r="AD24" s="484"/>
      <c r="AE24" s="480"/>
      <c r="AF24" s="253"/>
      <c r="AG24" s="245"/>
    </row>
    <row r="25" spans="1:33" ht="15.75" thickBot="1" x14ac:dyDescent="0.3">
      <c r="A25" s="345" t="s">
        <v>384</v>
      </c>
      <c r="B25" s="391" t="s">
        <v>385</v>
      </c>
      <c r="C25" s="392" t="s">
        <v>360</v>
      </c>
      <c r="D25" s="393" t="s">
        <v>1</v>
      </c>
      <c r="E25" s="498">
        <f>2+2</f>
        <v>4</v>
      </c>
      <c r="F25" s="498">
        <v>1</v>
      </c>
      <c r="G25" s="498">
        <v>1</v>
      </c>
      <c r="H25" s="499">
        <f t="shared" ref="H25:H29" si="11">SUM(E25:G25)</f>
        <v>6</v>
      </c>
      <c r="J25" s="500">
        <v>6</v>
      </c>
      <c r="K25" s="498">
        <f>J25-H25</f>
        <v>0</v>
      </c>
      <c r="L25" s="501">
        <f>K25/J25</f>
        <v>0</v>
      </c>
      <c r="N25" s="502"/>
      <c r="P25" s="246"/>
      <c r="Q25" s="247"/>
      <c r="R25" s="248"/>
      <c r="S25" s="249"/>
      <c r="T25" s="552"/>
      <c r="U25" s="552"/>
      <c r="V25" s="552"/>
      <c r="W25" s="552">
        <v>0.69799999999999995</v>
      </c>
      <c r="X25" s="613">
        <v>0.08</v>
      </c>
      <c r="Y25" s="552"/>
      <c r="Z25" s="552"/>
      <c r="AA25" s="552"/>
      <c r="AB25" s="482"/>
      <c r="AC25" s="483"/>
      <c r="AD25" s="484"/>
      <c r="AE25" s="480"/>
      <c r="AF25" s="253"/>
      <c r="AG25" s="245"/>
    </row>
    <row r="26" spans="1:33" ht="15.75" thickBot="1" x14ac:dyDescent="0.3">
      <c r="A26" s="210" t="s">
        <v>361</v>
      </c>
      <c r="B26" s="211"/>
      <c r="C26" s="212"/>
      <c r="D26" s="213"/>
      <c r="E26" s="215" t="s">
        <v>219</v>
      </c>
      <c r="F26" s="215" t="s">
        <v>220</v>
      </c>
      <c r="G26" s="215" t="s">
        <v>311</v>
      </c>
      <c r="H26" s="537" t="s">
        <v>222</v>
      </c>
      <c r="J26" s="238" t="s">
        <v>36</v>
      </c>
      <c r="K26" s="700" t="s">
        <v>232</v>
      </c>
      <c r="L26" s="701"/>
      <c r="N26" s="240" t="s">
        <v>223</v>
      </c>
      <c r="P26" s="246"/>
      <c r="Q26" s="247"/>
      <c r="R26" s="248"/>
      <c r="S26" s="249"/>
      <c r="T26" s="552"/>
      <c r="U26" s="552"/>
      <c r="V26" s="552"/>
      <c r="W26" s="552">
        <v>7.0999999999999994E-2</v>
      </c>
      <c r="X26" s="613">
        <v>0.08</v>
      </c>
      <c r="Y26" s="552"/>
      <c r="Z26" s="552"/>
      <c r="AA26" s="552"/>
      <c r="AB26" s="482"/>
      <c r="AC26" s="483"/>
      <c r="AD26" s="484"/>
      <c r="AE26" s="480"/>
      <c r="AF26" s="253"/>
      <c r="AG26" s="245"/>
    </row>
    <row r="27" spans="1:33" x14ac:dyDescent="0.25">
      <c r="A27" s="220" t="s">
        <v>362</v>
      </c>
      <c r="B27" s="221" t="s">
        <v>363</v>
      </c>
      <c r="C27" s="222" t="s">
        <v>294</v>
      </c>
      <c r="D27" s="223" t="s">
        <v>1</v>
      </c>
      <c r="E27" s="241"/>
      <c r="F27" s="241"/>
      <c r="G27" s="241">
        <v>1</v>
      </c>
      <c r="H27" s="242">
        <f t="shared" si="11"/>
        <v>1</v>
      </c>
      <c r="J27" s="243">
        <v>1</v>
      </c>
      <c r="K27" s="241">
        <f t="shared" ref="K27:K29" si="12">J27-H27</f>
        <v>0</v>
      </c>
      <c r="L27" s="506">
        <f t="shared" ref="L27:L29" si="13">K27/J27</f>
        <v>0</v>
      </c>
      <c r="N27" s="245"/>
      <c r="P27" s="615" t="s">
        <v>422</v>
      </c>
      <c r="Q27" s="616" t="s">
        <v>401</v>
      </c>
      <c r="R27" s="473"/>
      <c r="S27" s="474" t="s">
        <v>31</v>
      </c>
      <c r="T27" s="605"/>
      <c r="U27" s="606"/>
      <c r="V27" s="606"/>
      <c r="W27" s="606"/>
      <c r="X27" s="606"/>
      <c r="Y27" s="606"/>
      <c r="Z27" s="606"/>
      <c r="AA27" s="606"/>
      <c r="AB27" s="476">
        <f>SUM(T28:AA36)</f>
        <v>53.919800309999978</v>
      </c>
      <c r="AC27" s="228"/>
      <c r="AD27" s="484"/>
      <c r="AE27" s="480"/>
      <c r="AF27" s="253"/>
      <c r="AG27" s="245"/>
    </row>
    <row r="28" spans="1:33" x14ac:dyDescent="0.25">
      <c r="A28" s="246" t="s">
        <v>364</v>
      </c>
      <c r="B28" s="247" t="s">
        <v>365</v>
      </c>
      <c r="C28" s="248" t="s">
        <v>366</v>
      </c>
      <c r="D28" s="249" t="s">
        <v>1</v>
      </c>
      <c r="E28" s="250"/>
      <c r="F28" s="250"/>
      <c r="G28" s="250">
        <v>1</v>
      </c>
      <c r="H28" s="251">
        <f t="shared" si="11"/>
        <v>1</v>
      </c>
      <c r="J28" s="252">
        <v>1</v>
      </c>
      <c r="K28" s="250">
        <f t="shared" si="12"/>
        <v>0</v>
      </c>
      <c r="L28" s="507">
        <f t="shared" si="13"/>
        <v>0</v>
      </c>
      <c r="N28" s="245"/>
      <c r="P28" s="614" t="s">
        <v>322</v>
      </c>
      <c r="Q28" s="247" t="s">
        <v>397</v>
      </c>
      <c r="R28" s="248"/>
      <c r="S28" s="249"/>
      <c r="T28" s="552">
        <v>3.28</v>
      </c>
      <c r="U28" s="568">
        <v>0.10995559000000001</v>
      </c>
      <c r="V28" s="552">
        <v>1.7236</v>
      </c>
      <c r="W28" s="607">
        <v>6.0999999999999999E-2</v>
      </c>
      <c r="X28" s="552"/>
      <c r="Y28" s="552"/>
      <c r="Z28" s="552"/>
      <c r="AA28" s="552"/>
      <c r="AB28" s="482"/>
      <c r="AC28" s="483"/>
      <c r="AD28" s="484"/>
      <c r="AE28" s="480"/>
      <c r="AF28" s="253"/>
      <c r="AG28" s="245"/>
    </row>
    <row r="29" spans="1:33" ht="15.75" thickBot="1" x14ac:dyDescent="0.3">
      <c r="A29" s="345" t="s">
        <v>367</v>
      </c>
      <c r="B29" s="391" t="s">
        <v>368</v>
      </c>
      <c r="C29" s="392" t="s">
        <v>294</v>
      </c>
      <c r="D29" s="393" t="s">
        <v>31</v>
      </c>
      <c r="E29" s="394"/>
      <c r="F29" s="394"/>
      <c r="G29" s="394">
        <f>3.6223*1.15</f>
        <v>4.1656449999999996</v>
      </c>
      <c r="H29" s="395">
        <f t="shared" si="11"/>
        <v>4.1656449999999996</v>
      </c>
      <c r="J29" s="508">
        <v>4.17</v>
      </c>
      <c r="K29" s="394">
        <f t="shared" si="12"/>
        <v>4.3550000000003308E-3</v>
      </c>
      <c r="L29" s="501">
        <f t="shared" si="13"/>
        <v>1.0443645083933648E-3</v>
      </c>
      <c r="N29" s="502" t="s">
        <v>413</v>
      </c>
      <c r="P29" s="246"/>
      <c r="Q29" s="247" t="s">
        <v>29</v>
      </c>
      <c r="R29" s="248"/>
      <c r="S29" s="249"/>
      <c r="T29" s="552">
        <f>T28</f>
        <v>3.28</v>
      </c>
      <c r="U29" s="568">
        <f t="shared" ref="U29:W30" si="14">U28</f>
        <v>0.10995559000000001</v>
      </c>
      <c r="V29" s="552">
        <f t="shared" si="14"/>
        <v>1.7236</v>
      </c>
      <c r="W29" s="607">
        <f t="shared" si="14"/>
        <v>6.0999999999999999E-2</v>
      </c>
      <c r="X29" s="552"/>
      <c r="Y29" s="552"/>
      <c r="Z29" s="552"/>
      <c r="AA29" s="552"/>
      <c r="AB29" s="482"/>
      <c r="AC29" s="483"/>
      <c r="AD29" s="484"/>
      <c r="AE29" s="480"/>
      <c r="AF29" s="253"/>
      <c r="AG29" s="245"/>
    </row>
    <row r="30" spans="1:33" ht="15.75" thickBot="1" x14ac:dyDescent="0.3">
      <c r="A30" s="210" t="s">
        <v>343</v>
      </c>
      <c r="B30" s="211"/>
      <c r="C30" s="212"/>
      <c r="D30" s="213"/>
      <c r="E30" s="215" t="s">
        <v>219</v>
      </c>
      <c r="F30" s="215" t="s">
        <v>220</v>
      </c>
      <c r="G30" s="215" t="s">
        <v>311</v>
      </c>
      <c r="H30" s="537" t="s">
        <v>222</v>
      </c>
      <c r="J30" s="238" t="s">
        <v>36</v>
      </c>
      <c r="K30" s="700" t="s">
        <v>232</v>
      </c>
      <c r="L30" s="701"/>
      <c r="N30" s="240" t="s">
        <v>223</v>
      </c>
      <c r="P30" s="229"/>
      <c r="Q30" s="494" t="s">
        <v>398</v>
      </c>
      <c r="R30" s="495"/>
      <c r="S30" s="504"/>
      <c r="T30" s="588">
        <f>T29</f>
        <v>3.28</v>
      </c>
      <c r="U30" s="589">
        <f t="shared" si="14"/>
        <v>0.10995559000000001</v>
      </c>
      <c r="V30" s="588">
        <f t="shared" si="14"/>
        <v>1.7236</v>
      </c>
      <c r="W30" s="608">
        <f t="shared" si="14"/>
        <v>6.0999999999999999E-2</v>
      </c>
      <c r="X30" s="588"/>
      <c r="Y30" s="588"/>
      <c r="Z30" s="588"/>
      <c r="AA30" s="588"/>
      <c r="AB30" s="563"/>
      <c r="AC30" s="564"/>
      <c r="AD30" s="484"/>
      <c r="AE30" s="480"/>
      <c r="AF30" s="253"/>
      <c r="AG30" s="245"/>
    </row>
    <row r="31" spans="1:33" ht="15.75" thickBot="1" x14ac:dyDescent="0.3">
      <c r="A31" s="345" t="s">
        <v>352</v>
      </c>
      <c r="B31" s="391" t="s">
        <v>353</v>
      </c>
      <c r="C31" s="392" t="s">
        <v>354</v>
      </c>
      <c r="D31" s="393" t="s">
        <v>31</v>
      </c>
      <c r="E31" s="394">
        <f>4*0.155*1.15</f>
        <v>0.71299999999999997</v>
      </c>
      <c r="F31" s="394">
        <f>1*0.155*1.15</f>
        <v>0.17824999999999999</v>
      </c>
      <c r="G31" s="394">
        <f>2*0.155*1.15</f>
        <v>0.35649999999999998</v>
      </c>
      <c r="H31" s="395">
        <f>SUM(E31:G31)</f>
        <v>1.2477499999999999</v>
      </c>
      <c r="J31" s="508">
        <v>1.25</v>
      </c>
      <c r="K31" s="394">
        <f>J31-H31</f>
        <v>2.2500000000000853E-3</v>
      </c>
      <c r="L31" s="543">
        <f>K31/J31</f>
        <v>1.8000000000000683E-3</v>
      </c>
      <c r="N31" s="502" t="s">
        <v>413</v>
      </c>
      <c r="P31" s="614" t="s">
        <v>324</v>
      </c>
      <c r="Q31" s="247" t="s">
        <v>397</v>
      </c>
      <c r="R31" s="248"/>
      <c r="S31" s="249"/>
      <c r="T31" s="552">
        <v>5.22</v>
      </c>
      <c r="U31" s="568">
        <v>0.10995559000000001</v>
      </c>
      <c r="V31" s="552">
        <v>1.7876000000000001</v>
      </c>
      <c r="W31" s="607">
        <v>6.0999999999999999E-2</v>
      </c>
      <c r="X31" s="552"/>
      <c r="Y31" s="552"/>
      <c r="Z31" s="552"/>
      <c r="AA31" s="552"/>
      <c r="AB31" s="482"/>
      <c r="AC31" s="483"/>
      <c r="AD31" s="484"/>
      <c r="AE31" s="480"/>
      <c r="AF31" s="253"/>
      <c r="AG31" s="245"/>
    </row>
    <row r="32" spans="1:33" x14ac:dyDescent="0.25">
      <c r="P32" s="246"/>
      <c r="Q32" s="247" t="s">
        <v>29</v>
      </c>
      <c r="R32" s="248"/>
      <c r="S32" s="249"/>
      <c r="T32" s="552">
        <f>T31</f>
        <v>5.22</v>
      </c>
      <c r="U32" s="568">
        <f t="shared" ref="U32:U33" si="15">U31</f>
        <v>0.10995559000000001</v>
      </c>
      <c r="V32" s="552">
        <f t="shared" ref="V32:V33" si="16">V31</f>
        <v>1.7876000000000001</v>
      </c>
      <c r="W32" s="607">
        <f t="shared" ref="W32:W33" si="17">W31</f>
        <v>6.0999999999999999E-2</v>
      </c>
      <c r="X32" s="552"/>
      <c r="Y32" s="552"/>
      <c r="Z32" s="552"/>
      <c r="AA32" s="552"/>
      <c r="AB32" s="482"/>
      <c r="AC32" s="483"/>
      <c r="AD32" s="484"/>
      <c r="AE32" s="480"/>
      <c r="AF32" s="253"/>
      <c r="AG32" s="245"/>
    </row>
    <row r="33" spans="1:33" ht="15.75" thickBot="1" x14ac:dyDescent="0.3">
      <c r="P33" s="597"/>
      <c r="Q33" s="598" t="s">
        <v>398</v>
      </c>
      <c r="R33" s="599"/>
      <c r="S33" s="600"/>
      <c r="T33" s="609">
        <f>T32</f>
        <v>5.22</v>
      </c>
      <c r="U33" s="601">
        <f t="shared" si="15"/>
        <v>0.10995559000000001</v>
      </c>
      <c r="V33" s="609">
        <f t="shared" si="16"/>
        <v>1.7876000000000001</v>
      </c>
      <c r="W33" s="610">
        <f t="shared" si="17"/>
        <v>6.0999999999999999E-2</v>
      </c>
      <c r="X33" s="609"/>
      <c r="Y33" s="609"/>
      <c r="Z33" s="609"/>
      <c r="AA33" s="609"/>
      <c r="AB33" s="602"/>
      <c r="AC33" s="603"/>
      <c r="AD33" s="484"/>
      <c r="AE33" s="480"/>
      <c r="AF33" s="253"/>
      <c r="AG33" s="245"/>
    </row>
    <row r="34" spans="1:33" x14ac:dyDescent="0.25">
      <c r="P34" s="617" t="s">
        <v>108</v>
      </c>
      <c r="Q34" s="558" t="s">
        <v>397</v>
      </c>
      <c r="R34" s="559"/>
      <c r="S34" s="560"/>
      <c r="T34" s="611">
        <v>3.6379999999999999</v>
      </c>
      <c r="U34" s="604">
        <v>0.10995559000000001</v>
      </c>
      <c r="V34" s="611">
        <v>1.8111999999999999</v>
      </c>
      <c r="W34" s="612">
        <v>6.0999999999999999E-2</v>
      </c>
      <c r="X34" s="611"/>
      <c r="Y34" s="611"/>
      <c r="Z34" s="611"/>
      <c r="AA34" s="611"/>
      <c r="AB34" s="561"/>
      <c r="AC34" s="562"/>
      <c r="AD34" s="484"/>
      <c r="AE34" s="480"/>
      <c r="AF34" s="253"/>
      <c r="AG34" s="245"/>
    </row>
    <row r="35" spans="1:33" x14ac:dyDescent="0.25">
      <c r="P35" s="246"/>
      <c r="Q35" s="247" t="s">
        <v>29</v>
      </c>
      <c r="R35" s="248"/>
      <c r="S35" s="249"/>
      <c r="T35" s="552">
        <f>T34</f>
        <v>3.6379999999999999</v>
      </c>
      <c r="U35" s="568">
        <f t="shared" ref="U35:U36" si="18">U34</f>
        <v>0.10995559000000001</v>
      </c>
      <c r="V35" s="552">
        <f t="shared" ref="V35:V36" si="19">V34</f>
        <v>1.8111999999999999</v>
      </c>
      <c r="W35" s="607">
        <f t="shared" ref="W35:W36" si="20">W34</f>
        <v>6.0999999999999999E-2</v>
      </c>
      <c r="X35" s="552"/>
      <c r="Y35" s="552"/>
      <c r="Z35" s="552"/>
      <c r="AA35" s="552"/>
      <c r="AB35" s="482"/>
      <c r="AC35" s="483"/>
      <c r="AD35" s="484"/>
      <c r="AE35" s="480"/>
      <c r="AF35" s="253"/>
      <c r="AG35" s="245"/>
    </row>
    <row r="36" spans="1:33" ht="15.75" thickBot="1" x14ac:dyDescent="0.3">
      <c r="P36" s="229"/>
      <c r="Q36" s="494" t="s">
        <v>398</v>
      </c>
      <c r="R36" s="495"/>
      <c r="S36" s="504"/>
      <c r="T36" s="588">
        <f>T35</f>
        <v>3.6379999999999999</v>
      </c>
      <c r="U36" s="589">
        <f t="shared" si="18"/>
        <v>0.10995559000000001</v>
      </c>
      <c r="V36" s="588">
        <f t="shared" si="19"/>
        <v>1.8111999999999999</v>
      </c>
      <c r="W36" s="608">
        <f t="shared" si="20"/>
        <v>6.0999999999999999E-2</v>
      </c>
      <c r="X36" s="588"/>
      <c r="Y36" s="588"/>
      <c r="Z36" s="588"/>
      <c r="AA36" s="588"/>
      <c r="AB36" s="563"/>
      <c r="AC36" s="564"/>
      <c r="AD36" s="530"/>
      <c r="AE36" s="230"/>
      <c r="AF36" s="497"/>
      <c r="AG36" s="502"/>
    </row>
    <row r="37" spans="1:33" ht="15.75" thickBot="1" x14ac:dyDescent="0.3"/>
    <row r="38" spans="1:33" ht="15.75" thickBot="1" x14ac:dyDescent="0.3">
      <c r="A38"/>
      <c r="B38"/>
      <c r="P38" s="210" t="s">
        <v>391</v>
      </c>
      <c r="Q38" s="212"/>
      <c r="R38" s="212"/>
      <c r="S38" s="212"/>
      <c r="T38" s="212"/>
      <c r="U38" s="212"/>
      <c r="V38" s="212"/>
      <c r="W38" s="212"/>
      <c r="X38" s="212"/>
      <c r="Y38" s="238" t="s">
        <v>221</v>
      </c>
      <c r="Z38" s="219" t="s">
        <v>222</v>
      </c>
      <c r="AA38" s="238" t="s">
        <v>36</v>
      </c>
      <c r="AB38" s="566" t="s">
        <v>232</v>
      </c>
      <c r="AC38" s="567"/>
    </row>
    <row r="39" spans="1:33" x14ac:dyDescent="0.25">
      <c r="A39"/>
      <c r="B39"/>
      <c r="P39" s="615" t="s">
        <v>423</v>
      </c>
      <c r="Q39" s="616" t="s">
        <v>399</v>
      </c>
      <c r="R39" s="473"/>
      <c r="S39" s="474"/>
      <c r="T39" s="554"/>
      <c r="U39" s="554"/>
      <c r="V39" s="554"/>
      <c r="W39" s="554"/>
      <c r="X39" s="554"/>
      <c r="Y39" s="476"/>
      <c r="Z39" s="228">
        <f>SUM(Y40:Y42)</f>
        <v>91.346767079999964</v>
      </c>
      <c r="AA39" s="477">
        <f>14+9.95+9.02+32.97+32.97</f>
        <v>98.91</v>
      </c>
      <c r="AB39" s="475">
        <f>AA39-Z39</f>
        <v>7.5632329200000328</v>
      </c>
      <c r="AC39" s="557">
        <f>AB39/AA39</f>
        <v>7.6465806490749494E-2</v>
      </c>
    </row>
    <row r="40" spans="1:33" x14ac:dyDescent="0.25">
      <c r="A40"/>
      <c r="B40"/>
      <c r="P40" s="246"/>
      <c r="Q40" s="247" t="s">
        <v>397</v>
      </c>
      <c r="R40" s="248"/>
      <c r="S40" s="249"/>
      <c r="T40" s="555">
        <v>2.0750000000000002</v>
      </c>
      <c r="U40" s="555">
        <v>0.50060000000000004</v>
      </c>
      <c r="V40" s="568">
        <v>0.10995559000000001</v>
      </c>
      <c r="W40" s="555">
        <v>0.52359999999999995</v>
      </c>
      <c r="X40" s="594">
        <v>6.0999999999999999E-2</v>
      </c>
      <c r="Y40" s="482">
        <f>SUM(T40:X40,T44:X44,T48:X48,T52:X52)</f>
        <v>30.448922359999987</v>
      </c>
      <c r="Z40" s="483" t="s">
        <v>397</v>
      </c>
      <c r="AA40" s="252"/>
      <c r="AB40" s="250"/>
      <c r="AC40" s="253"/>
    </row>
    <row r="41" spans="1:33" x14ac:dyDescent="0.25">
      <c r="A41"/>
      <c r="B41"/>
      <c r="P41" s="246"/>
      <c r="Q41" s="247" t="s">
        <v>29</v>
      </c>
      <c r="R41" s="248"/>
      <c r="S41" s="249"/>
      <c r="T41" s="555">
        <f t="shared" ref="T41:X42" si="21">T40</f>
        <v>2.0750000000000002</v>
      </c>
      <c r="U41" s="555">
        <f t="shared" si="21"/>
        <v>0.50060000000000004</v>
      </c>
      <c r="V41" s="591">
        <f t="shared" si="21"/>
        <v>0.10995559000000001</v>
      </c>
      <c r="W41" s="555">
        <f t="shared" si="21"/>
        <v>0.52359999999999995</v>
      </c>
      <c r="X41" s="594">
        <f t="shared" si="21"/>
        <v>6.0999999999999999E-2</v>
      </c>
      <c r="Y41" s="482">
        <f t="shared" ref="Y41:Y42" si="22">SUM(T41:X41,T45:X45,T49:X49,T53:X53)</f>
        <v>30.448922359999987</v>
      </c>
      <c r="Z41" s="483" t="s">
        <v>29</v>
      </c>
      <c r="AA41" s="484"/>
      <c r="AB41" s="480"/>
      <c r="AC41" s="253"/>
    </row>
    <row r="42" spans="1:33" ht="15.75" thickBot="1" x14ac:dyDescent="0.3">
      <c r="A42"/>
      <c r="B42"/>
      <c r="P42" s="290"/>
      <c r="Q42" s="485" t="s">
        <v>398</v>
      </c>
      <c r="R42" s="486"/>
      <c r="S42" s="553"/>
      <c r="T42" s="556">
        <f t="shared" si="21"/>
        <v>2.0750000000000002</v>
      </c>
      <c r="U42" s="556">
        <f t="shared" si="21"/>
        <v>0.50060000000000004</v>
      </c>
      <c r="V42" s="592">
        <f t="shared" si="21"/>
        <v>0.10995559000000001</v>
      </c>
      <c r="W42" s="556">
        <f t="shared" si="21"/>
        <v>0.52359999999999995</v>
      </c>
      <c r="X42" s="595">
        <f t="shared" si="21"/>
        <v>6.0999999999999999E-2</v>
      </c>
      <c r="Y42" s="487">
        <f t="shared" si="22"/>
        <v>30.448922359999987</v>
      </c>
      <c r="Z42" s="488" t="s">
        <v>398</v>
      </c>
      <c r="AA42" s="484"/>
      <c r="AB42" s="480"/>
      <c r="AC42" s="253"/>
    </row>
    <row r="43" spans="1:33" ht="15.75" thickTop="1" x14ac:dyDescent="0.25">
      <c r="A43"/>
      <c r="B43"/>
      <c r="P43" s="615" t="s">
        <v>424</v>
      </c>
      <c r="Q43" s="616" t="s">
        <v>396</v>
      </c>
      <c r="R43" s="473"/>
      <c r="S43" s="474"/>
      <c r="T43" s="554"/>
      <c r="U43" s="554"/>
      <c r="V43" s="590"/>
      <c r="W43" s="554"/>
      <c r="X43" s="554"/>
      <c r="Y43" s="476"/>
      <c r="Z43" s="228"/>
      <c r="AA43" s="484"/>
      <c r="AB43" s="480"/>
      <c r="AC43" s="253"/>
    </row>
    <row r="44" spans="1:33" x14ac:dyDescent="0.25">
      <c r="A44"/>
      <c r="B44"/>
      <c r="P44" s="246"/>
      <c r="Q44" s="247" t="s">
        <v>397</v>
      </c>
      <c r="R44" s="248"/>
      <c r="S44" s="249"/>
      <c r="T44" s="555">
        <v>7.6630000000000003</v>
      </c>
      <c r="U44" s="555">
        <v>1.5249999999999999</v>
      </c>
      <c r="V44" s="568">
        <v>0.10995559000000001</v>
      </c>
      <c r="W44" s="555">
        <v>0.54069999999999996</v>
      </c>
      <c r="X44" s="594">
        <v>6.0999999999999999E-2</v>
      </c>
      <c r="Y44" s="482"/>
      <c r="Z44" s="483"/>
      <c r="AA44" s="484"/>
      <c r="AB44" s="480"/>
      <c r="AC44" s="253"/>
    </row>
    <row r="45" spans="1:33" x14ac:dyDescent="0.25">
      <c r="A45"/>
      <c r="B45"/>
      <c r="P45" s="246"/>
      <c r="Q45" s="247" t="s">
        <v>29</v>
      </c>
      <c r="R45" s="248"/>
      <c r="S45" s="249"/>
      <c r="T45" s="555">
        <f t="shared" ref="T45:X46" si="23">T44</f>
        <v>7.6630000000000003</v>
      </c>
      <c r="U45" s="555">
        <f t="shared" si="23"/>
        <v>1.5249999999999999</v>
      </c>
      <c r="V45" s="591">
        <f t="shared" si="23"/>
        <v>0.10995559000000001</v>
      </c>
      <c r="W45" s="555">
        <f t="shared" si="23"/>
        <v>0.54069999999999996</v>
      </c>
      <c r="X45" s="594">
        <f t="shared" si="23"/>
        <v>6.0999999999999999E-2</v>
      </c>
      <c r="Y45" s="482"/>
      <c r="Z45" s="483"/>
      <c r="AA45" s="484"/>
      <c r="AB45" s="480"/>
      <c r="AC45" s="253"/>
    </row>
    <row r="46" spans="1:33" ht="15.75" thickBot="1" x14ac:dyDescent="0.3">
      <c r="A46"/>
      <c r="B46"/>
      <c r="P46" s="290"/>
      <c r="Q46" s="485" t="s">
        <v>398</v>
      </c>
      <c r="R46" s="486"/>
      <c r="S46" s="503"/>
      <c r="T46" s="556">
        <f t="shared" si="23"/>
        <v>7.6630000000000003</v>
      </c>
      <c r="U46" s="556">
        <f t="shared" si="23"/>
        <v>1.5249999999999999</v>
      </c>
      <c r="V46" s="592">
        <f t="shared" si="23"/>
        <v>0.10995559000000001</v>
      </c>
      <c r="W46" s="556">
        <f t="shared" si="23"/>
        <v>0.54069999999999996</v>
      </c>
      <c r="X46" s="595">
        <f t="shared" si="23"/>
        <v>6.0999999999999999E-2</v>
      </c>
      <c r="Y46" s="487"/>
      <c r="Z46" s="488"/>
      <c r="AA46" s="484"/>
      <c r="AB46" s="480"/>
      <c r="AC46" s="253"/>
    </row>
    <row r="47" spans="1:33" ht="15.75" thickTop="1" x14ac:dyDescent="0.25">
      <c r="A47"/>
      <c r="B47"/>
      <c r="P47" s="615" t="s">
        <v>425</v>
      </c>
      <c r="Q47" s="616" t="s">
        <v>396</v>
      </c>
      <c r="R47" s="473"/>
      <c r="S47" s="474"/>
      <c r="T47" s="554"/>
      <c r="U47" s="554"/>
      <c r="V47" s="554"/>
      <c r="W47" s="554"/>
      <c r="X47" s="554"/>
      <c r="Y47" s="476"/>
      <c r="Z47" s="228"/>
      <c r="AA47" s="484"/>
      <c r="AB47" s="480"/>
      <c r="AC47" s="253"/>
    </row>
    <row r="48" spans="1:33" x14ac:dyDescent="0.25">
      <c r="A48"/>
      <c r="B48"/>
      <c r="P48" s="246"/>
      <c r="Q48" s="247" t="s">
        <v>397</v>
      </c>
      <c r="R48" s="248"/>
      <c r="S48" s="249"/>
      <c r="T48" s="555">
        <v>6.7919999999999998</v>
      </c>
      <c r="U48" s="555">
        <v>1.5249999999999999</v>
      </c>
      <c r="V48" s="568">
        <v>0.10995559000000001</v>
      </c>
      <c r="W48" s="555">
        <v>0.58760000000000001</v>
      </c>
      <c r="X48" s="594">
        <v>6.0999999999999999E-2</v>
      </c>
      <c r="Y48" s="482"/>
      <c r="Z48" s="483"/>
      <c r="AA48" s="484"/>
      <c r="AB48" s="480"/>
      <c r="AC48" s="253"/>
    </row>
    <row r="49" spans="1:29" x14ac:dyDescent="0.25">
      <c r="A49"/>
      <c r="B49"/>
      <c r="P49" s="246"/>
      <c r="Q49" s="247" t="s">
        <v>29</v>
      </c>
      <c r="R49" s="248"/>
      <c r="S49" s="249"/>
      <c r="T49" s="555">
        <f t="shared" ref="T49:X50" si="24">T48</f>
        <v>6.7919999999999998</v>
      </c>
      <c r="U49" s="555">
        <f t="shared" si="24"/>
        <v>1.5249999999999999</v>
      </c>
      <c r="V49" s="591">
        <f t="shared" si="24"/>
        <v>0.10995559000000001</v>
      </c>
      <c r="W49" s="555">
        <f t="shared" si="24"/>
        <v>0.58760000000000001</v>
      </c>
      <c r="X49" s="594">
        <f t="shared" si="24"/>
        <v>6.0999999999999999E-2</v>
      </c>
      <c r="Y49" s="482"/>
      <c r="Z49" s="483"/>
      <c r="AA49" s="484"/>
      <c r="AB49" s="480"/>
      <c r="AC49" s="253"/>
    </row>
    <row r="50" spans="1:29" ht="15.75" thickBot="1" x14ac:dyDescent="0.3">
      <c r="A50"/>
      <c r="B50"/>
      <c r="P50" s="290"/>
      <c r="Q50" s="485" t="s">
        <v>398</v>
      </c>
      <c r="R50" s="486"/>
      <c r="S50" s="503"/>
      <c r="T50" s="556">
        <f t="shared" si="24"/>
        <v>6.7919999999999998</v>
      </c>
      <c r="U50" s="556">
        <f t="shared" si="24"/>
        <v>1.5249999999999999</v>
      </c>
      <c r="V50" s="592">
        <f t="shared" si="24"/>
        <v>0.10995559000000001</v>
      </c>
      <c r="W50" s="556">
        <f t="shared" si="24"/>
        <v>0.58760000000000001</v>
      </c>
      <c r="X50" s="595">
        <f t="shared" si="24"/>
        <v>6.0999999999999999E-2</v>
      </c>
      <c r="Y50" s="487"/>
      <c r="Z50" s="488"/>
      <c r="AA50" s="484"/>
      <c r="AB50" s="480"/>
      <c r="AC50" s="253"/>
    </row>
    <row r="51" spans="1:29" ht="15.75" thickTop="1" x14ac:dyDescent="0.25">
      <c r="A51"/>
      <c r="B51"/>
      <c r="P51" s="615" t="s">
        <v>426</v>
      </c>
      <c r="Q51" s="616" t="s">
        <v>396</v>
      </c>
      <c r="R51" s="473"/>
      <c r="S51" s="474"/>
      <c r="T51" s="554"/>
      <c r="U51" s="554"/>
      <c r="V51" s="554"/>
      <c r="W51" s="554"/>
      <c r="X51" s="554"/>
      <c r="Y51" s="476"/>
      <c r="Z51" s="228"/>
      <c r="AA51" s="484"/>
      <c r="AB51" s="480"/>
      <c r="AC51" s="253"/>
    </row>
    <row r="52" spans="1:29" x14ac:dyDescent="0.25">
      <c r="A52"/>
      <c r="B52"/>
      <c r="P52" s="246"/>
      <c r="Q52" s="247" t="s">
        <v>397</v>
      </c>
      <c r="R52" s="248"/>
      <c r="S52" s="249"/>
      <c r="T52" s="555">
        <v>5.92</v>
      </c>
      <c r="U52" s="555">
        <v>1.5249999999999999</v>
      </c>
      <c r="V52" s="568">
        <v>0.10995559000000001</v>
      </c>
      <c r="W52" s="555">
        <v>0.58760000000000001</v>
      </c>
      <c r="X52" s="594">
        <v>6.0999999999999999E-2</v>
      </c>
      <c r="Y52" s="482"/>
      <c r="Z52" s="483"/>
      <c r="AA52" s="484"/>
      <c r="AB52" s="480"/>
      <c r="AC52" s="253"/>
    </row>
    <row r="53" spans="1:29" x14ac:dyDescent="0.25">
      <c r="B53"/>
      <c r="P53" s="246"/>
      <c r="Q53" s="247" t="s">
        <v>29</v>
      </c>
      <c r="R53" s="248"/>
      <c r="S53" s="249"/>
      <c r="T53" s="555">
        <f t="shared" ref="T53:X54" si="25">T52</f>
        <v>5.92</v>
      </c>
      <c r="U53" s="555">
        <f t="shared" si="25"/>
        <v>1.5249999999999999</v>
      </c>
      <c r="V53" s="591">
        <f t="shared" si="25"/>
        <v>0.10995559000000001</v>
      </c>
      <c r="W53" s="555">
        <f t="shared" si="25"/>
        <v>0.58760000000000001</v>
      </c>
      <c r="X53" s="594">
        <f t="shared" si="25"/>
        <v>6.0999999999999999E-2</v>
      </c>
      <c r="Y53" s="482"/>
      <c r="Z53" s="483"/>
      <c r="AA53" s="484"/>
      <c r="AB53" s="480"/>
      <c r="AC53" s="253"/>
    </row>
    <row r="54" spans="1:29" ht="15.75" thickBot="1" x14ac:dyDescent="0.3">
      <c r="B54"/>
      <c r="P54" s="546"/>
      <c r="Q54" s="547" t="s">
        <v>398</v>
      </c>
      <c r="R54" s="548"/>
      <c r="S54" s="549"/>
      <c r="T54" s="593">
        <f t="shared" si="25"/>
        <v>5.92</v>
      </c>
      <c r="U54" s="593">
        <f t="shared" si="25"/>
        <v>1.5249999999999999</v>
      </c>
      <c r="V54" s="589">
        <f t="shared" si="25"/>
        <v>0.10995559000000001</v>
      </c>
      <c r="W54" s="593">
        <f t="shared" si="25"/>
        <v>0.58760000000000001</v>
      </c>
      <c r="X54" s="596">
        <f t="shared" si="25"/>
        <v>6.0999999999999999E-2</v>
      </c>
      <c r="Y54" s="550"/>
      <c r="Z54" s="551"/>
      <c r="AA54" s="530"/>
      <c r="AB54" s="230"/>
      <c r="AC54" s="497"/>
    </row>
    <row r="55" spans="1:29" ht="15.75" thickBot="1" x14ac:dyDescent="0.3">
      <c r="B55" s="6"/>
    </row>
    <row r="56" spans="1:29" ht="15.75" thickBot="1" x14ac:dyDescent="0.3">
      <c r="B56" s="6"/>
      <c r="P56" s="210" t="s">
        <v>416</v>
      </c>
      <c r="Q56" s="212"/>
      <c r="R56" s="212"/>
      <c r="S56" s="212"/>
      <c r="T56" s="212"/>
      <c r="U56" s="212"/>
      <c r="V56" s="212"/>
      <c r="W56" s="212"/>
      <c r="X56" s="219" t="s">
        <v>222</v>
      </c>
      <c r="Y56" s="238" t="s">
        <v>36</v>
      </c>
      <c r="Z56" s="700" t="s">
        <v>232</v>
      </c>
      <c r="AA56" s="701"/>
    </row>
    <row r="57" spans="1:29" x14ac:dyDescent="0.25">
      <c r="B57" s="6"/>
      <c r="P57" s="471" t="s">
        <v>414</v>
      </c>
      <c r="Q57" s="472"/>
      <c r="R57" s="473"/>
      <c r="S57" s="474"/>
      <c r="T57" s="474"/>
      <c r="U57" s="475"/>
      <c r="V57" s="475"/>
      <c r="W57" s="475"/>
      <c r="X57" s="228">
        <f>SUM(T57:W77)</f>
        <v>15.694522670000003</v>
      </c>
      <c r="Y57" s="477">
        <v>16.399999999999999</v>
      </c>
      <c r="Z57" s="475">
        <f>Y57-X57</f>
        <v>0.70547732999999546</v>
      </c>
      <c r="AA57" s="478">
        <f>Z57/Y57</f>
        <v>4.3016910365853388E-2</v>
      </c>
    </row>
    <row r="58" spans="1:29" x14ac:dyDescent="0.25">
      <c r="B58" s="6"/>
      <c r="P58" s="246"/>
      <c r="Q58" s="247"/>
      <c r="R58" s="248"/>
      <c r="S58" s="249"/>
      <c r="T58" s="552">
        <v>0.49299999999999999</v>
      </c>
      <c r="U58" s="568">
        <v>0.10995559000000001</v>
      </c>
      <c r="V58" s="552"/>
      <c r="W58" s="552"/>
      <c r="X58" s="483"/>
      <c r="Y58" s="252"/>
      <c r="Z58" s="480"/>
      <c r="AA58" s="253"/>
    </row>
    <row r="59" spans="1:29" x14ac:dyDescent="0.25">
      <c r="B59" s="6"/>
      <c r="P59" s="246"/>
      <c r="Q59" s="247"/>
      <c r="R59" s="248"/>
      <c r="S59" s="249"/>
      <c r="T59" s="552">
        <v>0.11</v>
      </c>
      <c r="U59" s="552"/>
      <c r="V59" s="552"/>
      <c r="W59" s="552"/>
      <c r="X59" s="483"/>
      <c r="Y59" s="484"/>
      <c r="Z59" s="480"/>
      <c r="AA59" s="253"/>
    </row>
    <row r="60" spans="1:29" x14ac:dyDescent="0.25">
      <c r="B60" s="6"/>
      <c r="P60" s="246"/>
      <c r="Q60" s="247"/>
      <c r="R60" s="248"/>
      <c r="S60" s="249"/>
      <c r="T60" s="552">
        <v>1.4790000000000001</v>
      </c>
      <c r="U60" s="568">
        <v>0.10995559000000001</v>
      </c>
      <c r="V60" s="552"/>
      <c r="W60" s="552"/>
      <c r="X60" s="483"/>
      <c r="Y60" s="484"/>
      <c r="Z60" s="480"/>
      <c r="AA60" s="253"/>
    </row>
    <row r="61" spans="1:29" x14ac:dyDescent="0.25">
      <c r="B61" s="6"/>
      <c r="P61" s="569"/>
      <c r="Q61" s="570"/>
      <c r="R61" s="571"/>
      <c r="S61" s="572"/>
      <c r="T61" s="573">
        <v>0.50060000000000004</v>
      </c>
      <c r="U61" s="574">
        <v>0.10995559000000001</v>
      </c>
      <c r="V61" s="573"/>
      <c r="W61" s="573"/>
      <c r="X61" s="575"/>
      <c r="Y61" s="576"/>
      <c r="Z61" s="577"/>
      <c r="AA61" s="578"/>
    </row>
    <row r="62" spans="1:29" x14ac:dyDescent="0.25">
      <c r="B62" s="6"/>
      <c r="P62" s="220" t="s">
        <v>108</v>
      </c>
      <c r="Q62" s="221"/>
      <c r="R62" s="268"/>
      <c r="S62" s="223"/>
      <c r="T62" s="223"/>
      <c r="U62" s="490"/>
      <c r="V62" s="490"/>
      <c r="W62" s="490"/>
      <c r="X62" s="483"/>
      <c r="Y62" s="484"/>
      <c r="Z62" s="480"/>
      <c r="AA62" s="253"/>
    </row>
    <row r="63" spans="1:29" x14ac:dyDescent="0.25">
      <c r="B63" s="6"/>
      <c r="P63" s="246"/>
      <c r="Q63" s="247"/>
      <c r="R63" s="248"/>
      <c r="S63" s="249"/>
      <c r="T63" s="552">
        <v>0.33450000000000002</v>
      </c>
      <c r="U63" s="568">
        <v>0.10995559000000001</v>
      </c>
      <c r="V63" s="552"/>
      <c r="W63" s="552"/>
      <c r="X63" s="483"/>
      <c r="Y63" s="484"/>
      <c r="Z63" s="480"/>
      <c r="AA63" s="253"/>
    </row>
    <row r="64" spans="1:29" x14ac:dyDescent="0.25">
      <c r="P64" s="246"/>
      <c r="Q64" s="247"/>
      <c r="R64" s="248"/>
      <c r="S64" s="249"/>
      <c r="T64" s="552">
        <v>1.419</v>
      </c>
      <c r="U64" s="568">
        <v>0.10995559000000001</v>
      </c>
      <c r="V64" s="552"/>
      <c r="W64" s="552"/>
      <c r="X64" s="483"/>
      <c r="Y64" s="484"/>
      <c r="Z64" s="480"/>
      <c r="AA64" s="253"/>
    </row>
    <row r="65" spans="16:27" x14ac:dyDescent="0.25">
      <c r="P65" s="579"/>
      <c r="Q65" s="580"/>
      <c r="R65" s="581"/>
      <c r="S65" s="582"/>
      <c r="T65" s="583">
        <v>0.47499999999999998</v>
      </c>
      <c r="U65" s="583">
        <v>0.72070000000000001</v>
      </c>
      <c r="V65" s="574">
        <v>0.10995559000000001</v>
      </c>
      <c r="W65" s="583">
        <v>9.1600000000000001E-2</v>
      </c>
      <c r="X65" s="584"/>
      <c r="Y65" s="585"/>
      <c r="Z65" s="586"/>
      <c r="AA65" s="587"/>
    </row>
    <row r="66" spans="16:27" x14ac:dyDescent="0.25">
      <c r="P66" s="220" t="s">
        <v>415</v>
      </c>
      <c r="Q66" s="221"/>
      <c r="R66" s="268"/>
      <c r="S66" s="223"/>
      <c r="T66" s="223"/>
      <c r="U66" s="490"/>
      <c r="V66" s="490"/>
      <c r="W66" s="490"/>
      <c r="X66" s="483"/>
      <c r="Y66" s="484"/>
      <c r="Z66" s="480"/>
      <c r="AA66" s="253"/>
    </row>
    <row r="67" spans="16:27" x14ac:dyDescent="0.25">
      <c r="P67" s="246"/>
      <c r="Q67" s="247"/>
      <c r="R67" s="248"/>
      <c r="S67" s="249"/>
      <c r="T67" s="552">
        <v>0.96930000000000005</v>
      </c>
      <c r="U67" s="568">
        <v>0.10995559000000001</v>
      </c>
      <c r="V67" s="552"/>
      <c r="W67" s="552"/>
      <c r="X67" s="483"/>
      <c r="Y67" s="484"/>
      <c r="Z67" s="480"/>
      <c r="AA67" s="253"/>
    </row>
    <row r="68" spans="16:27" x14ac:dyDescent="0.25">
      <c r="P68" s="246"/>
      <c r="Q68" s="247"/>
      <c r="R68" s="248"/>
      <c r="S68" s="249"/>
      <c r="T68" s="552">
        <v>0.65980000000000005</v>
      </c>
      <c r="U68" s="552"/>
      <c r="V68" s="552"/>
      <c r="W68" s="552"/>
      <c r="X68" s="483"/>
      <c r="Y68" s="484"/>
      <c r="Z68" s="480"/>
      <c r="AA68" s="253"/>
    </row>
    <row r="69" spans="16:27" x14ac:dyDescent="0.25">
      <c r="P69" s="246"/>
      <c r="Q69" s="247"/>
      <c r="R69" s="248"/>
      <c r="S69" s="249"/>
      <c r="T69" s="552">
        <v>1.4156</v>
      </c>
      <c r="U69" s="568">
        <v>0.10995559000000001</v>
      </c>
      <c r="V69" s="552"/>
      <c r="W69" s="552"/>
      <c r="X69" s="483"/>
      <c r="Y69" s="484"/>
      <c r="Z69" s="480"/>
      <c r="AA69" s="253"/>
    </row>
    <row r="70" spans="16:27" x14ac:dyDescent="0.25">
      <c r="P70" s="246"/>
      <c r="Q70" s="247"/>
      <c r="R70" s="248"/>
      <c r="S70" s="249"/>
      <c r="T70" s="552">
        <v>1.4156</v>
      </c>
      <c r="U70" s="568">
        <v>0.10995559000000001</v>
      </c>
      <c r="V70" s="552"/>
      <c r="W70" s="552"/>
      <c r="X70" s="483"/>
      <c r="Y70" s="484"/>
      <c r="Z70" s="480"/>
      <c r="AA70" s="253"/>
    </row>
    <row r="71" spans="16:27" x14ac:dyDescent="0.25">
      <c r="P71" s="246"/>
      <c r="Q71" s="247"/>
      <c r="R71" s="248"/>
      <c r="S71" s="249"/>
      <c r="T71" s="552">
        <v>1.419</v>
      </c>
      <c r="U71" s="568">
        <v>0.10995559000000001</v>
      </c>
      <c r="V71" s="552"/>
      <c r="W71" s="552"/>
      <c r="X71" s="483"/>
      <c r="Y71" s="484"/>
      <c r="Z71" s="480"/>
      <c r="AA71" s="253"/>
    </row>
    <row r="72" spans="16:27" x14ac:dyDescent="0.25">
      <c r="P72" s="246"/>
      <c r="Q72" s="247"/>
      <c r="R72" s="248"/>
      <c r="S72" s="249"/>
      <c r="T72" s="552">
        <v>3.56E-2</v>
      </c>
      <c r="U72" s="552"/>
      <c r="V72" s="552"/>
      <c r="W72" s="552"/>
      <c r="X72" s="483"/>
      <c r="Y72" s="484"/>
      <c r="Z72" s="480"/>
      <c r="AA72" s="253"/>
    </row>
    <row r="73" spans="16:27" x14ac:dyDescent="0.25">
      <c r="P73" s="246"/>
      <c r="Q73" s="247"/>
      <c r="R73" s="248"/>
      <c r="S73" s="249"/>
      <c r="T73" s="552"/>
      <c r="U73" s="552"/>
      <c r="V73" s="552"/>
      <c r="W73" s="552"/>
      <c r="X73" s="483"/>
      <c r="Y73" s="484"/>
      <c r="Z73" s="480"/>
      <c r="AA73" s="253"/>
    </row>
    <row r="74" spans="16:27" x14ac:dyDescent="0.25">
      <c r="P74" s="246"/>
      <c r="Q74" s="247"/>
      <c r="R74" s="248"/>
      <c r="S74" s="249"/>
      <c r="T74" s="552">
        <v>0.7611</v>
      </c>
      <c r="U74" s="568">
        <v>0.10995559000000001</v>
      </c>
      <c r="V74" s="552">
        <v>0.1305</v>
      </c>
      <c r="W74" s="568">
        <v>0.10995559000000001</v>
      </c>
      <c r="X74" s="483"/>
      <c r="Y74" s="484"/>
      <c r="Z74" s="480"/>
      <c r="AA74" s="253"/>
    </row>
    <row r="75" spans="16:27" x14ac:dyDescent="0.25">
      <c r="P75" s="246"/>
      <c r="Q75" s="247"/>
      <c r="R75" s="248"/>
      <c r="S75" s="249"/>
      <c r="T75" s="552">
        <v>0.67559999999999998</v>
      </c>
      <c r="U75" s="568">
        <v>0.10995559000000001</v>
      </c>
      <c r="V75" s="552"/>
      <c r="W75" s="552"/>
      <c r="X75" s="483"/>
      <c r="Y75" s="484"/>
      <c r="Z75" s="480"/>
      <c r="AA75" s="253"/>
    </row>
    <row r="76" spans="16:27" x14ac:dyDescent="0.25">
      <c r="P76" s="246"/>
      <c r="Q76" s="247"/>
      <c r="R76" s="248"/>
      <c r="S76" s="249"/>
      <c r="T76" s="552">
        <v>0.57979999999999998</v>
      </c>
      <c r="U76" s="552"/>
      <c r="V76" s="552"/>
      <c r="W76" s="552"/>
      <c r="X76" s="483"/>
      <c r="Y76" s="484"/>
      <c r="Z76" s="480"/>
      <c r="AA76" s="253"/>
    </row>
    <row r="77" spans="16:27" ht="15.75" thickBot="1" x14ac:dyDescent="0.3">
      <c r="P77" s="229"/>
      <c r="Q77" s="494"/>
      <c r="R77" s="495"/>
      <c r="S77" s="504"/>
      <c r="T77" s="588">
        <v>0.57979999999999998</v>
      </c>
      <c r="U77" s="588"/>
      <c r="V77" s="588"/>
      <c r="W77" s="588"/>
      <c r="X77" s="564"/>
      <c r="Y77" s="530"/>
      <c r="Z77" s="230"/>
      <c r="AA77" s="497"/>
    </row>
  </sheetData>
  <mergeCells count="11">
    <mergeCell ref="Z56:AA56"/>
    <mergeCell ref="K30:L30"/>
    <mergeCell ref="AE2:AF2"/>
    <mergeCell ref="M6:N6"/>
    <mergeCell ref="K17:L17"/>
    <mergeCell ref="K24:L24"/>
    <mergeCell ref="K26:L26"/>
    <mergeCell ref="K12:L12"/>
    <mergeCell ref="M2:N2"/>
    <mergeCell ref="K9:L9"/>
    <mergeCell ref="M4:N4"/>
  </mergeCells>
  <conditionalFormatting sqref="K31:L31 K10:L11">
    <cfRule type="cellIs" dxfId="25" priority="87" operator="equal">
      <formula>0</formula>
    </cfRule>
  </conditionalFormatting>
  <conditionalFormatting sqref="K18:L18 AE3:AF3">
    <cfRule type="cellIs" dxfId="24" priority="92" operator="equal">
      <formula>0</formula>
    </cfRule>
  </conditionalFormatting>
  <conditionalFormatting sqref="K25:L25">
    <cfRule type="cellIs" dxfId="23" priority="91" operator="equal">
      <formula>0</formula>
    </cfRule>
  </conditionalFormatting>
  <conditionalFormatting sqref="K29:L29">
    <cfRule type="cellIs" dxfId="22" priority="88" operator="equal">
      <formula>0</formula>
    </cfRule>
  </conditionalFormatting>
  <conditionalFormatting sqref="K27:L28">
    <cfRule type="cellIs" dxfId="21" priority="89" operator="equal">
      <formula>0</formula>
    </cfRule>
  </conditionalFormatting>
  <conditionalFormatting sqref="AB39:AC39">
    <cfRule type="cellIs" dxfId="20" priority="54" operator="equal">
      <formula>0</formula>
    </cfRule>
  </conditionalFormatting>
  <conditionalFormatting sqref="K14:L14">
    <cfRule type="cellIs" dxfId="19" priority="52" operator="equal">
      <formula>0</formula>
    </cfRule>
  </conditionalFormatting>
  <conditionalFormatting sqref="K13:L13">
    <cfRule type="cellIs" dxfId="18" priority="51" operator="equal">
      <formula>0</formula>
    </cfRule>
  </conditionalFormatting>
  <conditionalFormatting sqref="K19:L19">
    <cfRule type="cellIs" dxfId="17" priority="38" operator="equal">
      <formula>0</formula>
    </cfRule>
  </conditionalFormatting>
  <conditionalFormatting sqref="K19:L19">
    <cfRule type="cellIs" dxfId="16" priority="47" operator="equal">
      <formula>0</formula>
    </cfRule>
  </conditionalFormatting>
  <conditionalFormatting sqref="K19:L19">
    <cfRule type="cellIs" dxfId="15" priority="37" operator="equal">
      <formula>0</formula>
    </cfRule>
  </conditionalFormatting>
  <conditionalFormatting sqref="K13:L13">
    <cfRule type="cellIs" dxfId="14" priority="16" operator="equal">
      <formula>0</formula>
    </cfRule>
  </conditionalFormatting>
  <conditionalFormatting sqref="K16:L16">
    <cfRule type="cellIs" dxfId="13" priority="14" operator="equal">
      <formula>0</formula>
    </cfRule>
  </conditionalFormatting>
  <conditionalFormatting sqref="K14:L14">
    <cfRule type="cellIs" dxfId="12" priority="15" operator="equal">
      <formula>0</formula>
    </cfRule>
  </conditionalFormatting>
  <conditionalFormatting sqref="K20:L20">
    <cfRule type="cellIs" dxfId="11" priority="10" operator="equal">
      <formula>0</formula>
    </cfRule>
  </conditionalFormatting>
  <conditionalFormatting sqref="K16:L16">
    <cfRule type="cellIs" dxfId="10" priority="11" operator="equal">
      <formula>0</formula>
    </cfRule>
  </conditionalFormatting>
  <conditionalFormatting sqref="K15:L15">
    <cfRule type="cellIs" dxfId="9" priority="13" operator="equal">
      <formula>0</formula>
    </cfRule>
  </conditionalFormatting>
  <conditionalFormatting sqref="K23:L23">
    <cfRule type="cellIs" dxfId="8" priority="5" operator="equal">
      <formula>0</formula>
    </cfRule>
  </conditionalFormatting>
  <conditionalFormatting sqref="K23:L23">
    <cfRule type="cellIs" dxfId="7" priority="4" operator="equal">
      <formula>0</formula>
    </cfRule>
  </conditionalFormatting>
  <conditionalFormatting sqref="K15:L15">
    <cfRule type="cellIs" dxfId="6" priority="12" operator="equal">
      <formula>0</formula>
    </cfRule>
  </conditionalFormatting>
  <conditionalFormatting sqref="K21:L21">
    <cfRule type="cellIs" dxfId="5" priority="9" operator="equal">
      <formula>0</formula>
    </cfRule>
  </conditionalFormatting>
  <conditionalFormatting sqref="K21:L21">
    <cfRule type="cellIs" dxfId="4" priority="7" operator="equal">
      <formula>0</formula>
    </cfRule>
  </conditionalFormatting>
  <conditionalFormatting sqref="K21:L21">
    <cfRule type="cellIs" dxfId="3" priority="8" operator="equal">
      <formula>0</formula>
    </cfRule>
  </conditionalFormatting>
  <conditionalFormatting sqref="K22:L22">
    <cfRule type="cellIs" dxfId="2" priority="6" operator="equal">
      <formula>0</formula>
    </cfRule>
  </conditionalFormatting>
  <conditionalFormatting sqref="K23:L23">
    <cfRule type="cellIs" dxfId="1" priority="3" operator="equal">
      <formula>0</formula>
    </cfRule>
  </conditionalFormatting>
  <conditionalFormatting sqref="Z57:AA57">
    <cfRule type="cellIs" dxfId="0" priority="2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Outros</vt:lpstr>
      <vt:lpstr>ARQ</vt:lpstr>
      <vt:lpstr>CPU BANCADAS</vt:lpstr>
      <vt:lpstr>AF</vt:lpstr>
      <vt:lpstr>ESG</vt:lpstr>
      <vt:lpstr>ELET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2023-02-27T17:53:34Z</dcterms:modified>
</cp:coreProperties>
</file>